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embeddings/oleObject3.bin" ContentType="application/vnd.openxmlformats-officedocument.oleObject"/>
  <Override PartName="/xl/worksheets/sheet2.xml" ContentType="application/vnd.openxmlformats-officedocument.spreadsheetml.worksheet+xml"/>
  <Override PartName="/xl/embeddings/oleObject2.bin" ContentType="application/vnd.openxmlformats-officedocument.oleObject"/>
  <Override PartName="/xl/worksheets/sheet1.xml" ContentType="application/vnd.openxmlformats-officedocument.spreadsheetml.worksheet+xml"/>
  <Override PartName="/xl/embeddings/oleObject1.bin" ContentType="application/vnd.openxmlformats-officedocument.oleObject"/>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omments1.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52\gin\GIN\01_PROJETOS\99_SE_José Mendes\XX_CC_2025_0xx_Reforma Congelados José Mendes\Publicar\"/>
    </mc:Choice>
  </mc:AlternateContent>
  <bookViews>
    <workbookView xWindow="0" yWindow="0" windowWidth="28800" windowHeight="10872"/>
  </bookViews>
  <sheets>
    <sheet name="Orçamento Desonerado" sheetId="4" r:id="rId1"/>
    <sheet name="Cronograma Desonerado" sheetId="5" r:id="rId2"/>
  </sheets>
  <externalReferences>
    <externalReference r:id="rId3"/>
  </externalReferences>
  <definedNames>
    <definedName name="adm" localSheetId="1">#REF!</definedName>
    <definedName name="adm" localSheetId="0">#REF!</definedName>
    <definedName name="adm">#REF!</definedName>
    <definedName name="_xlnm.Print_Area" localSheetId="1">'Cronograma Desonerado'!$A$1:$BR$65</definedName>
    <definedName name="_xlnm.Print_Area" localSheetId="0">'Orçamento Desonerado'!$A$1:$L$734</definedName>
    <definedName name="bdi" localSheetId="1">#REF!</definedName>
    <definedName name="bdi" localSheetId="0">#REF!</definedName>
    <definedName name="bdi">#REF!</definedName>
    <definedName name="BDI_EQUIPAMENTOS">'[1]3-ComposicoesUnitarias'!$L$7</definedName>
    <definedName name="BDIADM" localSheetId="1">#REF!</definedName>
    <definedName name="BDIADM" localSheetId="0">#REF!</definedName>
    <definedName name="BDIADM">#REF!</definedName>
    <definedName name="bdimerigo" localSheetId="1">#REF!</definedName>
    <definedName name="bdimerigo" localSheetId="0">#REF!</definedName>
    <definedName name="bdimerigo">#REF!</definedName>
    <definedName name="Excel_BuiltIn_Print_Area_1" localSheetId="1">#REF!</definedName>
    <definedName name="Excel_BuiltIn_Print_Area_1" localSheetId="0">#REF!</definedName>
    <definedName name="Excel_BuiltIn_Print_Area_1">#REF!</definedName>
    <definedName name="Excel_BuiltIn_Print_Titles_1" localSheetId="1">#REF!</definedName>
    <definedName name="Excel_BuiltIn_Print_Titles_1" localSheetId="0">#REF!</definedName>
    <definedName name="Excel_BuiltIn_Print_Titles_1">#REF!</definedName>
    <definedName name="ta" localSheetId="1">#REF!</definedName>
    <definedName name="ta" localSheetId="0">#REF!</definedName>
    <definedName name="ta">#REF!</definedName>
    <definedName name="_xlnm.Print_Titles" localSheetId="1">'Cronograma Desonerado'!$A:$B</definedName>
    <definedName name="_xlnm.Print_Titles" localSheetId="0">'Orçamento Desonerado'!$1:$9</definedName>
    <definedName name="Totalg" localSheetId="1">#REF!</definedName>
    <definedName name="Totalg" localSheetId="0">#REF!</definedName>
    <definedName name="Totalg">#REF!</definedName>
    <definedName name="tt" localSheetId="1">#REF!</definedName>
    <definedName name="tt" localSheetId="0">#REF!</definedName>
    <definedName name="tt">#REF!</definedName>
    <definedName name="tta" localSheetId="1">#REF!</definedName>
    <definedName name="tta" localSheetId="0">#REF!</definedName>
    <definedName name="tta">#REF!</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4" i="4" l="1"/>
  <c r="J484" i="4"/>
  <c r="K484" i="4"/>
  <c r="L484" i="4"/>
  <c r="I485" i="4"/>
  <c r="J485" i="4"/>
  <c r="K485" i="4"/>
  <c r="L485" i="4" s="1"/>
  <c r="I486" i="4"/>
  <c r="J486" i="4"/>
  <c r="K486" i="4"/>
  <c r="I487" i="4"/>
  <c r="J487" i="4"/>
  <c r="K487" i="4"/>
  <c r="L486" i="4" l="1"/>
  <c r="L487" i="4"/>
  <c r="K657" i="4"/>
  <c r="J657" i="4"/>
  <c r="L657" i="4" s="1"/>
  <c r="L656" i="4" s="1"/>
  <c r="I657" i="4"/>
  <c r="I475" i="4"/>
  <c r="J475" i="4"/>
  <c r="L475" i="4" s="1"/>
  <c r="K475" i="4"/>
  <c r="I473" i="4"/>
  <c r="J473" i="4"/>
  <c r="K473" i="4"/>
  <c r="L473" i="4" s="1"/>
  <c r="I476" i="4"/>
  <c r="J476" i="4"/>
  <c r="K476" i="4"/>
  <c r="L476" i="4"/>
  <c r="I477" i="4"/>
  <c r="J477" i="4"/>
  <c r="K477" i="4"/>
  <c r="I478" i="4"/>
  <c r="J478" i="4"/>
  <c r="K478" i="4"/>
  <c r="L478" i="4"/>
  <c r="I479" i="4"/>
  <c r="J479" i="4"/>
  <c r="K479" i="4"/>
  <c r="L479" i="4" s="1"/>
  <c r="I480" i="4"/>
  <c r="J480" i="4"/>
  <c r="L480" i="4" s="1"/>
  <c r="K480" i="4"/>
  <c r="I481" i="4"/>
  <c r="J481" i="4"/>
  <c r="K481" i="4"/>
  <c r="L481" i="4" s="1"/>
  <c r="I482" i="4"/>
  <c r="J482" i="4"/>
  <c r="K482" i="4"/>
  <c r="I483" i="4"/>
  <c r="J483" i="4"/>
  <c r="K483" i="4"/>
  <c r="L483" i="4" s="1"/>
  <c r="I488" i="4"/>
  <c r="J488" i="4"/>
  <c r="L488" i="4" s="1"/>
  <c r="K488" i="4"/>
  <c r="I489" i="4"/>
  <c r="J489" i="4"/>
  <c r="K489" i="4"/>
  <c r="I490" i="4"/>
  <c r="J490" i="4"/>
  <c r="L490" i="4" s="1"/>
  <c r="K490" i="4"/>
  <c r="I491" i="4"/>
  <c r="J491" i="4"/>
  <c r="L491" i="4" s="1"/>
  <c r="K491" i="4"/>
  <c r="I340" i="4"/>
  <c r="J340" i="4"/>
  <c r="K340" i="4"/>
  <c r="I311" i="4"/>
  <c r="J311" i="4"/>
  <c r="K311" i="4"/>
  <c r="I312" i="4"/>
  <c r="J312" i="4"/>
  <c r="K312" i="4"/>
  <c r="I313" i="4"/>
  <c r="J313" i="4"/>
  <c r="K313" i="4"/>
  <c r="I314" i="4"/>
  <c r="J314" i="4"/>
  <c r="K314" i="4"/>
  <c r="I315" i="4"/>
  <c r="J315" i="4"/>
  <c r="K315" i="4"/>
  <c r="I316" i="4"/>
  <c r="J316" i="4"/>
  <c r="K316" i="4"/>
  <c r="I317" i="4"/>
  <c r="J317" i="4"/>
  <c r="L317" i="4" s="1"/>
  <c r="K317" i="4"/>
  <c r="I318" i="4"/>
  <c r="J318" i="4"/>
  <c r="K318" i="4"/>
  <c r="I319" i="4"/>
  <c r="J319" i="4"/>
  <c r="K319" i="4"/>
  <c r="I320" i="4"/>
  <c r="J320" i="4"/>
  <c r="K320" i="4"/>
  <c r="I321" i="4"/>
  <c r="J321" i="4"/>
  <c r="K321" i="4"/>
  <c r="I322" i="4"/>
  <c r="J322" i="4"/>
  <c r="K322" i="4"/>
  <c r="I323" i="4"/>
  <c r="J323" i="4"/>
  <c r="K323" i="4"/>
  <c r="I324" i="4"/>
  <c r="J324" i="4"/>
  <c r="L324" i="4" s="1"/>
  <c r="K324" i="4"/>
  <c r="I325" i="4"/>
  <c r="J325" i="4"/>
  <c r="K325" i="4"/>
  <c r="I326" i="4"/>
  <c r="J326" i="4"/>
  <c r="K326" i="4"/>
  <c r="I327" i="4"/>
  <c r="J327" i="4"/>
  <c r="K327" i="4"/>
  <c r="K310" i="4"/>
  <c r="J310" i="4"/>
  <c r="I310" i="4"/>
  <c r="K114" i="4"/>
  <c r="J114" i="4"/>
  <c r="I114" i="4"/>
  <c r="K113" i="4"/>
  <c r="J113" i="4"/>
  <c r="I113" i="4"/>
  <c r="K112" i="4"/>
  <c r="J112" i="4"/>
  <c r="I112" i="4"/>
  <c r="K111" i="4"/>
  <c r="J111" i="4"/>
  <c r="I111" i="4"/>
  <c r="I107" i="4"/>
  <c r="J107" i="4"/>
  <c r="K107" i="4"/>
  <c r="I108" i="4"/>
  <c r="J108" i="4"/>
  <c r="K108" i="4"/>
  <c r="I109" i="4"/>
  <c r="J109" i="4"/>
  <c r="K109" i="4"/>
  <c r="K106" i="4"/>
  <c r="J106" i="4"/>
  <c r="I106" i="4"/>
  <c r="I98" i="4"/>
  <c r="J98" i="4"/>
  <c r="K98" i="4"/>
  <c r="I99" i="4"/>
  <c r="J99" i="4"/>
  <c r="K99" i="4"/>
  <c r="I100" i="4"/>
  <c r="J100" i="4"/>
  <c r="K100" i="4"/>
  <c r="I101" i="4"/>
  <c r="J101" i="4"/>
  <c r="K101" i="4"/>
  <c r="I102" i="4"/>
  <c r="J102" i="4"/>
  <c r="K102" i="4"/>
  <c r="I103" i="4"/>
  <c r="J103" i="4"/>
  <c r="K103" i="4"/>
  <c r="I104" i="4"/>
  <c r="J104" i="4"/>
  <c r="K104" i="4"/>
  <c r="K97" i="4"/>
  <c r="J97" i="4"/>
  <c r="I97" i="4"/>
  <c r="I51" i="4"/>
  <c r="J51" i="4"/>
  <c r="K51" i="4"/>
  <c r="I52" i="4"/>
  <c r="J52" i="4"/>
  <c r="K52" i="4"/>
  <c r="F162" i="4"/>
  <c r="F153" i="4"/>
  <c r="F154" i="4"/>
  <c r="F197" i="4"/>
  <c r="F188" i="4"/>
  <c r="F183" i="4"/>
  <c r="F181" i="4"/>
  <c r="F145" i="4"/>
  <c r="F120" i="4"/>
  <c r="F119" i="4"/>
  <c r="L482" i="4" l="1"/>
  <c r="L325" i="4"/>
  <c r="L316" i="4"/>
  <c r="L112" i="4"/>
  <c r="L326" i="4"/>
  <c r="L318" i="4"/>
  <c r="L340" i="4"/>
  <c r="L489" i="4"/>
  <c r="L477" i="4"/>
  <c r="L321" i="4"/>
  <c r="L313" i="4"/>
  <c r="L323" i="4"/>
  <c r="L315" i="4"/>
  <c r="L106" i="4"/>
  <c r="L310" i="4"/>
  <c r="L320" i="4"/>
  <c r="L312" i="4"/>
  <c r="L99" i="4"/>
  <c r="L322" i="4"/>
  <c r="L314" i="4"/>
  <c r="L327" i="4"/>
  <c r="L319" i="4"/>
  <c r="L311" i="4"/>
  <c r="L109" i="4"/>
  <c r="L98" i="4"/>
  <c r="L114" i="4"/>
  <c r="L107" i="4"/>
  <c r="L101" i="4"/>
  <c r="L97" i="4"/>
  <c r="L51" i="4"/>
  <c r="L108" i="4"/>
  <c r="L103" i="4"/>
  <c r="L100" i="4"/>
  <c r="L111" i="4"/>
  <c r="L102" i="4"/>
  <c r="L104" i="4"/>
  <c r="L52" i="4"/>
  <c r="L113" i="4"/>
  <c r="L309" i="4" l="1"/>
  <c r="L110" i="4"/>
  <c r="L105" i="4"/>
  <c r="L96" i="4"/>
  <c r="L95" i="4" l="1"/>
  <c r="F140" i="4" l="1"/>
  <c r="I300" i="4" l="1"/>
  <c r="J300" i="4"/>
  <c r="K300" i="4"/>
  <c r="I301" i="4"/>
  <c r="J301" i="4"/>
  <c r="K301" i="4"/>
  <c r="I302" i="4"/>
  <c r="J302" i="4"/>
  <c r="K302" i="4"/>
  <c r="I303" i="4"/>
  <c r="J303" i="4"/>
  <c r="K303" i="4"/>
  <c r="I304" i="4"/>
  <c r="J304" i="4"/>
  <c r="K304" i="4"/>
  <c r="I305" i="4"/>
  <c r="J305" i="4"/>
  <c r="K305" i="4"/>
  <c r="L305" i="4" s="1"/>
  <c r="I306" i="4"/>
  <c r="J306" i="4"/>
  <c r="K306" i="4"/>
  <c r="F211" i="4"/>
  <c r="F210" i="4"/>
  <c r="F215" i="4"/>
  <c r="F182" i="4"/>
  <c r="F46" i="4"/>
  <c r="F164" i="4"/>
  <c r="F163" i="4"/>
  <c r="F161" i="4"/>
  <c r="F157" i="4"/>
  <c r="F144" i="4"/>
  <c r="I136" i="4"/>
  <c r="F136" i="4"/>
  <c r="J136" i="4" s="1"/>
  <c r="F126" i="4"/>
  <c r="F124" i="4"/>
  <c r="F122" i="4"/>
  <c r="F118" i="4"/>
  <c r="K94" i="4"/>
  <c r="J94" i="4"/>
  <c r="I94" i="4"/>
  <c r="K93" i="4"/>
  <c r="J93" i="4"/>
  <c r="I93" i="4"/>
  <c r="K92" i="4"/>
  <c r="J92" i="4"/>
  <c r="I92" i="4"/>
  <c r="K91" i="4"/>
  <c r="J91" i="4"/>
  <c r="I91" i="4"/>
  <c r="K89" i="4"/>
  <c r="J89" i="4"/>
  <c r="I89" i="4"/>
  <c r="K88" i="4"/>
  <c r="J88" i="4"/>
  <c r="I88" i="4"/>
  <c r="K87" i="4"/>
  <c r="J87" i="4"/>
  <c r="I87" i="4"/>
  <c r="K86" i="4"/>
  <c r="J86" i="4"/>
  <c r="I86" i="4"/>
  <c r="K84" i="4"/>
  <c r="J84" i="4"/>
  <c r="I84" i="4"/>
  <c r="K83" i="4"/>
  <c r="J83" i="4"/>
  <c r="I83" i="4"/>
  <c r="K82" i="4"/>
  <c r="J82" i="4"/>
  <c r="I82" i="4"/>
  <c r="K81" i="4"/>
  <c r="J81" i="4"/>
  <c r="I81" i="4"/>
  <c r="K73" i="4"/>
  <c r="J73" i="4"/>
  <c r="I73" i="4"/>
  <c r="K72" i="4"/>
  <c r="J72" i="4"/>
  <c r="I72" i="4"/>
  <c r="K71" i="4"/>
  <c r="J71" i="4"/>
  <c r="I71" i="4"/>
  <c r="K70" i="4"/>
  <c r="J70" i="4"/>
  <c r="I70" i="4"/>
  <c r="F48" i="4"/>
  <c r="F44" i="4"/>
  <c r="F43" i="4"/>
  <c r="F42" i="4"/>
  <c r="L301" i="4" l="1"/>
  <c r="L86" i="4"/>
  <c r="L300" i="4"/>
  <c r="L304" i="4"/>
  <c r="L72" i="4"/>
  <c r="L303" i="4"/>
  <c r="L306" i="4"/>
  <c r="L302" i="4"/>
  <c r="L92" i="4"/>
  <c r="K136" i="4"/>
  <c r="L136" i="4" s="1"/>
  <c r="L135" i="4" s="1"/>
  <c r="L87" i="4"/>
  <c r="L94" i="4"/>
  <c r="L89" i="4"/>
  <c r="L88" i="4"/>
  <c r="L71" i="4"/>
  <c r="L83" i="4"/>
  <c r="L81" i="4"/>
  <c r="L70" i="4"/>
  <c r="L73" i="4"/>
  <c r="L82" i="4"/>
  <c r="L93" i="4"/>
  <c r="L84" i="4"/>
  <c r="L91" i="4"/>
  <c r="F47" i="4"/>
  <c r="F24" i="4"/>
  <c r="F23" i="4"/>
  <c r="F22" i="4"/>
  <c r="L85" i="4" l="1"/>
  <c r="L69" i="4"/>
  <c r="L80" i="4"/>
  <c r="L90" i="4"/>
  <c r="I161" i="4"/>
  <c r="I174" i="4"/>
  <c r="I207" i="4"/>
  <c r="J207" i="4"/>
  <c r="K207" i="4"/>
  <c r="L79" i="4" l="1"/>
  <c r="L207" i="4"/>
  <c r="J161" i="4" l="1"/>
  <c r="K161" i="4"/>
  <c r="I590" i="4"/>
  <c r="J590" i="4"/>
  <c r="K590" i="4"/>
  <c r="I566" i="4"/>
  <c r="J566" i="4"/>
  <c r="K566" i="4"/>
  <c r="I589" i="4"/>
  <c r="J589" i="4"/>
  <c r="K589" i="4"/>
  <c r="F596" i="4"/>
  <c r="L566" i="4" l="1"/>
  <c r="L161" i="4"/>
  <c r="L589" i="4"/>
  <c r="L590" i="4"/>
  <c r="I290" i="4" l="1"/>
  <c r="I291" i="4"/>
  <c r="I292" i="4"/>
  <c r="I293" i="4"/>
  <c r="I294" i="4"/>
  <c r="I295" i="4"/>
  <c r="I296" i="4"/>
  <c r="J296" i="4"/>
  <c r="K296" i="4"/>
  <c r="J295" i="4"/>
  <c r="K295" i="4"/>
  <c r="L295" i="4" l="1"/>
  <c r="L296" i="4"/>
  <c r="J290" i="4"/>
  <c r="K290" i="4"/>
  <c r="I289" i="4"/>
  <c r="J289" i="4"/>
  <c r="K289" i="4"/>
  <c r="L290" i="4" l="1"/>
  <c r="L289" i="4"/>
  <c r="I286" i="4"/>
  <c r="J286" i="4"/>
  <c r="K286" i="4"/>
  <c r="I282" i="4"/>
  <c r="I283" i="4"/>
  <c r="I284" i="4"/>
  <c r="J284" i="4"/>
  <c r="K284" i="4"/>
  <c r="J283" i="4"/>
  <c r="K283" i="4"/>
  <c r="J282" i="4"/>
  <c r="K282" i="4"/>
  <c r="I271" i="4"/>
  <c r="J271" i="4"/>
  <c r="K271" i="4"/>
  <c r="I265" i="4"/>
  <c r="I266" i="4"/>
  <c r="I267" i="4"/>
  <c r="J267" i="4"/>
  <c r="K267" i="4"/>
  <c r="J266" i="4"/>
  <c r="K266" i="4"/>
  <c r="J265" i="4"/>
  <c r="K265" i="4"/>
  <c r="I263" i="4"/>
  <c r="J263" i="4"/>
  <c r="K263" i="4"/>
  <c r="I260" i="4"/>
  <c r="I261" i="4"/>
  <c r="J261" i="4"/>
  <c r="K261" i="4"/>
  <c r="J260" i="4"/>
  <c r="K260" i="4"/>
  <c r="I257" i="4"/>
  <c r="J257" i="4"/>
  <c r="K257" i="4"/>
  <c r="I234" i="4"/>
  <c r="I235" i="4"/>
  <c r="I236" i="4"/>
  <c r="I237" i="4"/>
  <c r="I238" i="4"/>
  <c r="J238" i="4"/>
  <c r="K238" i="4"/>
  <c r="J237" i="4"/>
  <c r="K237" i="4"/>
  <c r="J236" i="4"/>
  <c r="K236" i="4"/>
  <c r="J235" i="4"/>
  <c r="K235" i="4"/>
  <c r="J234" i="4"/>
  <c r="K234" i="4"/>
  <c r="I227" i="4"/>
  <c r="I228" i="4"/>
  <c r="I229" i="4"/>
  <c r="I230" i="4"/>
  <c r="J230" i="4"/>
  <c r="K230" i="4"/>
  <c r="J229" i="4"/>
  <c r="K229" i="4"/>
  <c r="J228" i="4"/>
  <c r="K228" i="4"/>
  <c r="J227" i="4"/>
  <c r="K227" i="4"/>
  <c r="L286" i="4" l="1"/>
  <c r="L284" i="4"/>
  <c r="L282" i="4"/>
  <c r="L283" i="4"/>
  <c r="L271" i="4"/>
  <c r="L265" i="4"/>
  <c r="L267" i="4"/>
  <c r="L263" i="4"/>
  <c r="L266" i="4"/>
  <c r="L260" i="4"/>
  <c r="L261" i="4"/>
  <c r="L257" i="4"/>
  <c r="L238" i="4"/>
  <c r="L237" i="4"/>
  <c r="L227" i="4"/>
  <c r="L229" i="4"/>
  <c r="L234" i="4"/>
  <c r="L230" i="4"/>
  <c r="L235" i="4"/>
  <c r="L236" i="4"/>
  <c r="L228" i="4"/>
  <c r="I454" i="4" l="1"/>
  <c r="J454" i="4"/>
  <c r="K454" i="4"/>
  <c r="F455" i="4"/>
  <c r="I469" i="4"/>
  <c r="J469" i="4"/>
  <c r="K469" i="4"/>
  <c r="I470" i="4"/>
  <c r="J470" i="4"/>
  <c r="K470" i="4"/>
  <c r="I474" i="4"/>
  <c r="J474" i="4"/>
  <c r="K474" i="4"/>
  <c r="I472" i="4"/>
  <c r="J472" i="4"/>
  <c r="K472" i="4"/>
  <c r="L470" i="4" l="1"/>
  <c r="L469" i="4"/>
  <c r="L474" i="4"/>
  <c r="L472" i="4"/>
  <c r="L454" i="4"/>
  <c r="I595" i="4"/>
  <c r="J595" i="4"/>
  <c r="K595" i="4"/>
  <c r="K579" i="4"/>
  <c r="J579" i="4"/>
  <c r="I579" i="4"/>
  <c r="F591" i="4"/>
  <c r="F592" i="4" s="1"/>
  <c r="I568" i="4"/>
  <c r="J568" i="4"/>
  <c r="K568" i="4"/>
  <c r="I558" i="4"/>
  <c r="J558" i="4"/>
  <c r="K558" i="4"/>
  <c r="I559" i="4"/>
  <c r="J559" i="4"/>
  <c r="K559" i="4"/>
  <c r="I560" i="4"/>
  <c r="J560" i="4"/>
  <c r="K560" i="4"/>
  <c r="I561" i="4"/>
  <c r="J561" i="4"/>
  <c r="K561" i="4"/>
  <c r="I562" i="4"/>
  <c r="J562" i="4"/>
  <c r="K562" i="4"/>
  <c r="I563" i="4"/>
  <c r="J563" i="4"/>
  <c r="K563" i="4"/>
  <c r="L595" i="4" l="1"/>
  <c r="L579" i="4"/>
  <c r="L561" i="4"/>
  <c r="L563" i="4"/>
  <c r="L568" i="4"/>
  <c r="L559" i="4"/>
  <c r="L558" i="4"/>
  <c r="L560" i="4"/>
  <c r="L562" i="4"/>
  <c r="I390" i="4"/>
  <c r="J390" i="4"/>
  <c r="K390" i="4"/>
  <c r="L390" i="4" l="1"/>
  <c r="K659" i="4" l="1"/>
  <c r="J659" i="4"/>
  <c r="I659" i="4"/>
  <c r="I608" i="4"/>
  <c r="J608" i="4"/>
  <c r="K608" i="4"/>
  <c r="BT23" i="5"/>
  <c r="AT23" i="5"/>
  <c r="AP23" i="5"/>
  <c r="BU23" i="5" s="1"/>
  <c r="AL23" i="5"/>
  <c r="AH23" i="5"/>
  <c r="AD23" i="5"/>
  <c r="Z23" i="5"/>
  <c r="V23" i="5"/>
  <c r="R23" i="5"/>
  <c r="N23" i="5"/>
  <c r="J23" i="5"/>
  <c r="B23" i="5"/>
  <c r="L608" i="4" l="1"/>
  <c r="L659" i="4"/>
  <c r="L658" i="4" s="1"/>
  <c r="F128" i="4"/>
  <c r="I160" i="4"/>
  <c r="I121" i="4"/>
  <c r="I122" i="4"/>
  <c r="I123" i="4"/>
  <c r="I124" i="4"/>
  <c r="I125" i="4"/>
  <c r="I126" i="4"/>
  <c r="F125" i="4"/>
  <c r="K125" i="4" s="1"/>
  <c r="K124" i="4"/>
  <c r="F123" i="4"/>
  <c r="K123" i="4" s="1"/>
  <c r="J122" i="4"/>
  <c r="F121" i="4"/>
  <c r="J121" i="4" s="1"/>
  <c r="J126" i="4"/>
  <c r="F40" i="4"/>
  <c r="F41" i="4" s="1"/>
  <c r="F38" i="4"/>
  <c r="F160" i="4" l="1"/>
  <c r="K160" i="4" s="1"/>
  <c r="J125" i="4"/>
  <c r="L125" i="4" s="1"/>
  <c r="K122" i="4"/>
  <c r="L122" i="4" s="1"/>
  <c r="K126" i="4"/>
  <c r="L126" i="4" s="1"/>
  <c r="J124" i="4"/>
  <c r="L124" i="4" s="1"/>
  <c r="J123" i="4"/>
  <c r="L123" i="4" s="1"/>
  <c r="K121" i="4"/>
  <c r="L121" i="4" s="1"/>
  <c r="F497" i="4"/>
  <c r="J160" i="4" l="1"/>
  <c r="L160" i="4" s="1"/>
  <c r="I50" i="4"/>
  <c r="J50" i="4"/>
  <c r="K50" i="4"/>
  <c r="F49" i="4"/>
  <c r="F138" i="4"/>
  <c r="I435" i="4"/>
  <c r="I436" i="4"/>
  <c r="I437" i="4"/>
  <c r="J437" i="4"/>
  <c r="K437" i="4"/>
  <c r="L437" i="4" l="1"/>
  <c r="L50" i="4"/>
  <c r="I442" i="4"/>
  <c r="I443" i="4"/>
  <c r="J443" i="4"/>
  <c r="K443" i="4"/>
  <c r="J442" i="4"/>
  <c r="K442" i="4"/>
  <c r="J435" i="4"/>
  <c r="K435" i="4"/>
  <c r="I427" i="4"/>
  <c r="J427" i="4"/>
  <c r="K427" i="4"/>
  <c r="I428" i="4"/>
  <c r="J428" i="4"/>
  <c r="K428" i="4"/>
  <c r="I429" i="4"/>
  <c r="J429" i="4"/>
  <c r="K429" i="4"/>
  <c r="I430" i="4"/>
  <c r="J430" i="4"/>
  <c r="K430" i="4"/>
  <c r="I431" i="4"/>
  <c r="I432" i="4"/>
  <c r="J432" i="4"/>
  <c r="K432" i="4"/>
  <c r="K431" i="4"/>
  <c r="J418" i="4"/>
  <c r="K418" i="4"/>
  <c r="I416" i="4"/>
  <c r="I417" i="4"/>
  <c r="J417" i="4"/>
  <c r="K417" i="4"/>
  <c r="J416" i="4"/>
  <c r="K416" i="4"/>
  <c r="I412" i="4"/>
  <c r="I395" i="4"/>
  <c r="J395" i="4"/>
  <c r="K395" i="4"/>
  <c r="I396" i="4"/>
  <c r="J396" i="4"/>
  <c r="K396" i="4"/>
  <c r="I397" i="4"/>
  <c r="J397" i="4"/>
  <c r="K397" i="4"/>
  <c r="I398" i="4"/>
  <c r="J398" i="4"/>
  <c r="K398" i="4"/>
  <c r="I399" i="4"/>
  <c r="J399" i="4"/>
  <c r="K399" i="4"/>
  <c r="I400" i="4"/>
  <c r="J400" i="4"/>
  <c r="K400" i="4"/>
  <c r="I401" i="4"/>
  <c r="J401" i="4"/>
  <c r="K401" i="4"/>
  <c r="I402" i="4"/>
  <c r="J402" i="4"/>
  <c r="K402" i="4"/>
  <c r="I403" i="4"/>
  <c r="J403" i="4"/>
  <c r="K403" i="4"/>
  <c r="I404" i="4"/>
  <c r="J404" i="4"/>
  <c r="K404" i="4"/>
  <c r="J412" i="4"/>
  <c r="K412" i="4"/>
  <c r="I371" i="4"/>
  <c r="I372" i="4"/>
  <c r="I373" i="4"/>
  <c r="I374" i="4"/>
  <c r="I375" i="4"/>
  <c r="I376" i="4"/>
  <c r="I377" i="4"/>
  <c r="I378" i="4"/>
  <c r="I379" i="4"/>
  <c r="I380" i="4"/>
  <c r="I381" i="4"/>
  <c r="I382" i="4"/>
  <c r="I383" i="4"/>
  <c r="I384" i="4"/>
  <c r="I385" i="4"/>
  <c r="J385" i="4"/>
  <c r="K385" i="4"/>
  <c r="J383" i="4"/>
  <c r="K383" i="4"/>
  <c r="J381" i="4"/>
  <c r="K381" i="4"/>
  <c r="J380" i="4"/>
  <c r="K380" i="4"/>
  <c r="J379" i="4"/>
  <c r="K379" i="4"/>
  <c r="J378" i="4"/>
  <c r="K378" i="4"/>
  <c r="J377" i="4"/>
  <c r="K377" i="4"/>
  <c r="J376" i="4"/>
  <c r="K376" i="4"/>
  <c r="J374" i="4"/>
  <c r="K374" i="4"/>
  <c r="J371" i="4"/>
  <c r="K371" i="4"/>
  <c r="J372" i="4"/>
  <c r="K372" i="4"/>
  <c r="I362" i="4"/>
  <c r="J362" i="4"/>
  <c r="K362" i="4"/>
  <c r="I363" i="4"/>
  <c r="J363" i="4"/>
  <c r="K363" i="4"/>
  <c r="I364" i="4"/>
  <c r="J364" i="4"/>
  <c r="K364" i="4"/>
  <c r="I365" i="4"/>
  <c r="J365" i="4"/>
  <c r="K365" i="4"/>
  <c r="I366" i="4"/>
  <c r="J366" i="4"/>
  <c r="K366" i="4"/>
  <c r="I367" i="4"/>
  <c r="J367" i="4"/>
  <c r="K367" i="4"/>
  <c r="I368" i="4"/>
  <c r="J368" i="4"/>
  <c r="K368" i="4"/>
  <c r="I369" i="4"/>
  <c r="J369" i="4"/>
  <c r="K369" i="4"/>
  <c r="I370" i="4"/>
  <c r="J370" i="4"/>
  <c r="K370" i="4"/>
  <c r="J373" i="4"/>
  <c r="K373" i="4"/>
  <c r="K360" i="4"/>
  <c r="J360" i="4"/>
  <c r="I360" i="4"/>
  <c r="I506" i="4"/>
  <c r="J506" i="4"/>
  <c r="K506" i="4"/>
  <c r="I544" i="4"/>
  <c r="J544" i="4"/>
  <c r="K544" i="4"/>
  <c r="I549" i="4"/>
  <c r="J549" i="4"/>
  <c r="K549" i="4"/>
  <c r="I550" i="4"/>
  <c r="J550" i="4"/>
  <c r="K550" i="4"/>
  <c r="I545" i="4"/>
  <c r="J545" i="4"/>
  <c r="K545" i="4"/>
  <c r="I546" i="4"/>
  <c r="J546" i="4"/>
  <c r="K546" i="4"/>
  <c r="I551" i="4"/>
  <c r="J551" i="4"/>
  <c r="K551" i="4"/>
  <c r="I552" i="4"/>
  <c r="J552" i="4"/>
  <c r="K552" i="4"/>
  <c r="I547" i="4"/>
  <c r="J547" i="4"/>
  <c r="K547" i="4"/>
  <c r="I532" i="4"/>
  <c r="J532" i="4"/>
  <c r="K532" i="4"/>
  <c r="I533" i="4"/>
  <c r="J533" i="4"/>
  <c r="K533" i="4"/>
  <c r="I534" i="4"/>
  <c r="J534" i="4"/>
  <c r="K534" i="4"/>
  <c r="I535" i="4"/>
  <c r="J535" i="4"/>
  <c r="K535" i="4"/>
  <c r="I536" i="4"/>
  <c r="J536" i="4"/>
  <c r="K536" i="4"/>
  <c r="I537" i="4"/>
  <c r="J537" i="4"/>
  <c r="K537" i="4"/>
  <c r="I538" i="4"/>
  <c r="J538" i="4"/>
  <c r="K538" i="4"/>
  <c r="I539" i="4"/>
  <c r="J539" i="4"/>
  <c r="K539" i="4"/>
  <c r="I528" i="4"/>
  <c r="J528" i="4"/>
  <c r="K528" i="4"/>
  <c r="I505" i="4"/>
  <c r="J505" i="4"/>
  <c r="K505" i="4"/>
  <c r="K655" i="4"/>
  <c r="J655" i="4"/>
  <c r="I655" i="4"/>
  <c r="K654" i="4"/>
  <c r="J654" i="4"/>
  <c r="I654" i="4"/>
  <c r="K653" i="4"/>
  <c r="J653" i="4"/>
  <c r="I653" i="4"/>
  <c r="K652" i="4"/>
  <c r="J652" i="4"/>
  <c r="I652" i="4"/>
  <c r="I648" i="4"/>
  <c r="J648" i="4"/>
  <c r="K648" i="4"/>
  <c r="I649" i="4"/>
  <c r="J649" i="4"/>
  <c r="K649" i="4"/>
  <c r="I650" i="4"/>
  <c r="J650" i="4"/>
  <c r="K650" i="4"/>
  <c r="K647" i="4"/>
  <c r="J647" i="4"/>
  <c r="I647" i="4"/>
  <c r="I517" i="4"/>
  <c r="J517" i="4"/>
  <c r="K517" i="4"/>
  <c r="I518" i="4"/>
  <c r="J518" i="4"/>
  <c r="K518" i="4"/>
  <c r="I519" i="4"/>
  <c r="J519" i="4"/>
  <c r="K519" i="4"/>
  <c r="L432" i="4" l="1"/>
  <c r="L442" i="4"/>
  <c r="L443" i="4"/>
  <c r="L430" i="4"/>
  <c r="L429" i="4"/>
  <c r="L428" i="4"/>
  <c r="L427" i="4"/>
  <c r="J431" i="4"/>
  <c r="L431" i="4" s="1"/>
  <c r="L435" i="4"/>
  <c r="L649" i="4"/>
  <c r="L655" i="4"/>
  <c r="L362" i="4"/>
  <c r="L397" i="4"/>
  <c r="L418" i="4"/>
  <c r="L550" i="4"/>
  <c r="L417" i="4"/>
  <c r="L403" i="4"/>
  <c r="L395" i="4"/>
  <c r="L402" i="4"/>
  <c r="L416" i="4"/>
  <c r="L412" i="4"/>
  <c r="L399" i="4"/>
  <c r="L360" i="4"/>
  <c r="L366" i="4"/>
  <c r="L404" i="4"/>
  <c r="L396" i="4"/>
  <c r="L401" i="4"/>
  <c r="L398" i="4"/>
  <c r="L400" i="4"/>
  <c r="L363" i="4"/>
  <c r="L545" i="4"/>
  <c r="L370" i="4"/>
  <c r="L647" i="4"/>
  <c r="L364" i="4"/>
  <c r="L372" i="4"/>
  <c r="L547" i="4"/>
  <c r="L368" i="4"/>
  <c r="L365" i="4"/>
  <c r="L381" i="4"/>
  <c r="L380" i="4"/>
  <c r="L371" i="4"/>
  <c r="L383" i="4"/>
  <c r="L374" i="4"/>
  <c r="L367" i="4"/>
  <c r="L551" i="4"/>
  <c r="L369" i="4"/>
  <c r="L544" i="4"/>
  <c r="L506" i="4"/>
  <c r="L385" i="4"/>
  <c r="L535" i="4"/>
  <c r="L376" i="4"/>
  <c r="L533" i="4"/>
  <c r="L377" i="4"/>
  <c r="L546" i="4"/>
  <c r="L549" i="4"/>
  <c r="L378" i="4"/>
  <c r="L379" i="4"/>
  <c r="L373" i="4"/>
  <c r="L537" i="4"/>
  <c r="L532" i="4"/>
  <c r="L650" i="4"/>
  <c r="L539" i="4"/>
  <c r="L653" i="4"/>
  <c r="L505" i="4"/>
  <c r="L552" i="4"/>
  <c r="L538" i="4"/>
  <c r="L648" i="4"/>
  <c r="L654" i="4"/>
  <c r="L536" i="4"/>
  <c r="L534" i="4"/>
  <c r="L652" i="4"/>
  <c r="L528" i="4"/>
  <c r="L519" i="4"/>
  <c r="L518" i="4"/>
  <c r="L517" i="4"/>
  <c r="L651" i="4" l="1"/>
  <c r="L646" i="4"/>
  <c r="F354" i="4"/>
  <c r="I335" i="4"/>
  <c r="J335" i="4"/>
  <c r="K335" i="4"/>
  <c r="L335" i="4" l="1"/>
  <c r="F127" i="4"/>
  <c r="F155" i="4" l="1"/>
  <c r="F156" i="4"/>
  <c r="F214" i="4"/>
  <c r="F212" i="4"/>
  <c r="F213" i="4"/>
  <c r="K213" i="4" s="1"/>
  <c r="I213" i="4"/>
  <c r="J213" i="4" l="1"/>
  <c r="L213" i="4" s="1"/>
  <c r="F159" i="4"/>
  <c r="F152" i="4"/>
  <c r="F198" i="4"/>
  <c r="F202" i="4" s="1"/>
  <c r="F203" i="4" s="1"/>
  <c r="F200" i="4"/>
  <c r="F201" i="4" s="1"/>
  <c r="F147" i="4" l="1"/>
  <c r="F186" i="4"/>
  <c r="F139" i="4"/>
  <c r="F170" i="4"/>
  <c r="F169" i="4"/>
  <c r="F174" i="4" s="1"/>
  <c r="F172" i="4"/>
  <c r="F173" i="4" s="1"/>
  <c r="I189" i="4"/>
  <c r="F45" i="4"/>
  <c r="F189" i="4"/>
  <c r="K189" i="4" s="1"/>
  <c r="F190" i="4"/>
  <c r="F187" i="4"/>
  <c r="F175" i="4" l="1"/>
  <c r="F176" i="4" s="1"/>
  <c r="J174" i="4"/>
  <c r="K174" i="4"/>
  <c r="F184" i="4"/>
  <c r="F146" i="4"/>
  <c r="J189" i="4"/>
  <c r="L189" i="4" s="1"/>
  <c r="F31" i="4"/>
  <c r="F30" i="4"/>
  <c r="F29" i="4"/>
  <c r="F28" i="4"/>
  <c r="F27" i="4"/>
  <c r="L174" i="4" l="1"/>
  <c r="I596" i="4" l="1"/>
  <c r="K596" i="4"/>
  <c r="J596" i="4"/>
  <c r="L596" i="4" l="1"/>
  <c r="AD45" i="5" l="1"/>
  <c r="Z45" i="5"/>
  <c r="V45" i="5"/>
  <c r="R45" i="5"/>
  <c r="BU45" i="5" l="1"/>
  <c r="BT45" i="5"/>
  <c r="B45" i="5"/>
  <c r="F711" i="4"/>
  <c r="F717" i="4" s="1"/>
  <c r="B34" i="5" l="1"/>
  <c r="B22" i="5"/>
  <c r="B21" i="5"/>
  <c r="B20" i="5"/>
  <c r="B19" i="5"/>
  <c r="B18" i="5"/>
  <c r="B17" i="5"/>
  <c r="B16" i="5"/>
  <c r="B15" i="5"/>
  <c r="B14" i="5"/>
  <c r="B13" i="5"/>
  <c r="B12" i="5"/>
  <c r="B11" i="5"/>
  <c r="B10" i="5"/>
  <c r="B9" i="5"/>
  <c r="B8" i="5"/>
  <c r="B7" i="5"/>
  <c r="B6" i="5"/>
  <c r="BU34" i="5"/>
  <c r="BT34" i="5"/>
  <c r="BT22" i="5"/>
  <c r="AT22" i="5"/>
  <c r="AP22" i="5"/>
  <c r="AL22" i="5"/>
  <c r="AH22" i="5"/>
  <c r="AD22" i="5"/>
  <c r="Z22" i="5"/>
  <c r="V22" i="5"/>
  <c r="R22" i="5"/>
  <c r="N22" i="5"/>
  <c r="J22" i="5"/>
  <c r="BT21" i="5"/>
  <c r="AT21" i="5"/>
  <c r="AP21" i="5"/>
  <c r="AL21" i="5"/>
  <c r="AH21" i="5"/>
  <c r="AD21" i="5"/>
  <c r="Z21" i="5"/>
  <c r="V21" i="5"/>
  <c r="R21" i="5"/>
  <c r="N21" i="5"/>
  <c r="J21" i="5"/>
  <c r="BT20" i="5"/>
  <c r="AT20" i="5"/>
  <c r="AP20" i="5"/>
  <c r="AL20" i="5"/>
  <c r="AH20" i="5"/>
  <c r="AD20" i="5"/>
  <c r="Z20" i="5"/>
  <c r="V20" i="5"/>
  <c r="R20" i="5"/>
  <c r="N20" i="5"/>
  <c r="J20" i="5"/>
  <c r="BT19" i="5"/>
  <c r="AT19" i="5"/>
  <c r="AP19" i="5"/>
  <c r="AL19" i="5"/>
  <c r="AH19" i="5"/>
  <c r="AD19" i="5"/>
  <c r="Z19" i="5"/>
  <c r="V19" i="5"/>
  <c r="R19" i="5"/>
  <c r="N19" i="5"/>
  <c r="J19" i="5"/>
  <c r="BT18" i="5"/>
  <c r="AT18" i="5"/>
  <c r="AP18" i="5"/>
  <c r="AL18" i="5"/>
  <c r="AH18" i="5"/>
  <c r="AD18" i="5"/>
  <c r="Z18" i="5"/>
  <c r="V18" i="5"/>
  <c r="R18" i="5"/>
  <c r="N18" i="5"/>
  <c r="J18" i="5"/>
  <c r="BT17" i="5"/>
  <c r="AT17" i="5"/>
  <c r="BU17" i="5" s="1"/>
  <c r="AP17" i="5"/>
  <c r="AL17" i="5"/>
  <c r="AH17" i="5"/>
  <c r="AD17" i="5"/>
  <c r="Z17" i="5"/>
  <c r="V17" i="5"/>
  <c r="R17" i="5"/>
  <c r="N17" i="5"/>
  <c r="J17" i="5"/>
  <c r="BT16" i="5"/>
  <c r="AT16" i="5"/>
  <c r="BU16" i="5" s="1"/>
  <c r="AP16" i="5"/>
  <c r="AL16" i="5"/>
  <c r="AH16" i="5"/>
  <c r="AD16" i="5"/>
  <c r="Z16" i="5"/>
  <c r="V16" i="5"/>
  <c r="R16" i="5"/>
  <c r="N16" i="5"/>
  <c r="J16" i="5"/>
  <c r="BT15" i="5"/>
  <c r="AT15" i="5"/>
  <c r="AP15" i="5"/>
  <c r="AL15" i="5"/>
  <c r="AH15" i="5"/>
  <c r="AD15" i="5"/>
  <c r="Z15" i="5"/>
  <c r="V15" i="5"/>
  <c r="R15" i="5"/>
  <c r="N15" i="5"/>
  <c r="J15" i="5"/>
  <c r="BT14" i="5"/>
  <c r="AT14" i="5"/>
  <c r="AP14" i="5"/>
  <c r="AL14" i="5"/>
  <c r="AH14" i="5"/>
  <c r="AD14" i="5"/>
  <c r="Z14" i="5"/>
  <c r="V14" i="5"/>
  <c r="R14" i="5"/>
  <c r="N14" i="5"/>
  <c r="J14" i="5"/>
  <c r="BT13" i="5"/>
  <c r="AT13" i="5"/>
  <c r="AP13" i="5"/>
  <c r="AL13" i="5"/>
  <c r="AH13" i="5"/>
  <c r="AD13" i="5"/>
  <c r="Z13" i="5"/>
  <c r="V13" i="5"/>
  <c r="R13" i="5"/>
  <c r="N13" i="5"/>
  <c r="J13" i="5"/>
  <c r="BT12" i="5"/>
  <c r="AT12" i="5"/>
  <c r="AP12" i="5"/>
  <c r="AL12" i="5"/>
  <c r="AH12" i="5"/>
  <c r="AD12" i="5"/>
  <c r="Z12" i="5"/>
  <c r="V12" i="5"/>
  <c r="R12" i="5"/>
  <c r="N12" i="5"/>
  <c r="J12" i="5"/>
  <c r="BT11" i="5"/>
  <c r="AT11" i="5"/>
  <c r="AP11" i="5"/>
  <c r="AL11" i="5"/>
  <c r="AH11" i="5"/>
  <c r="AD11" i="5"/>
  <c r="Z11" i="5"/>
  <c r="V11" i="5"/>
  <c r="R11" i="5"/>
  <c r="N11" i="5"/>
  <c r="J11" i="5"/>
  <c r="BT10" i="5"/>
  <c r="AT10" i="5"/>
  <c r="AP10" i="5"/>
  <c r="AL10" i="5"/>
  <c r="AH10" i="5"/>
  <c r="AD10" i="5"/>
  <c r="Z10" i="5"/>
  <c r="V10" i="5"/>
  <c r="R10" i="5"/>
  <c r="N10" i="5"/>
  <c r="J10" i="5"/>
  <c r="BT9" i="5"/>
  <c r="AT9" i="5"/>
  <c r="AP9" i="5"/>
  <c r="AL9" i="5"/>
  <c r="AH9" i="5"/>
  <c r="AD9" i="5"/>
  <c r="Z9" i="5"/>
  <c r="V9" i="5"/>
  <c r="R9" i="5"/>
  <c r="N9" i="5"/>
  <c r="J9" i="5"/>
  <c r="BT8" i="5"/>
  <c r="AT8" i="5"/>
  <c r="BU8" i="5" s="1"/>
  <c r="AP8" i="5"/>
  <c r="AL8" i="5"/>
  <c r="AH8" i="5"/>
  <c r="AD8" i="5"/>
  <c r="Z8" i="5"/>
  <c r="V8" i="5"/>
  <c r="R8" i="5"/>
  <c r="N8" i="5"/>
  <c r="J8" i="5"/>
  <c r="BT7" i="5"/>
  <c r="AT7" i="5"/>
  <c r="AP7" i="5"/>
  <c r="AL7" i="5"/>
  <c r="AH7" i="5"/>
  <c r="AD7" i="5"/>
  <c r="Z7" i="5"/>
  <c r="V7" i="5"/>
  <c r="R7" i="5"/>
  <c r="N7" i="5"/>
  <c r="J7" i="5"/>
  <c r="BT6" i="5"/>
  <c r="AT6" i="5"/>
  <c r="BU6" i="5" s="1"/>
  <c r="AP6" i="5"/>
  <c r="AL6" i="5"/>
  <c r="AH6" i="5"/>
  <c r="AD6" i="5"/>
  <c r="Z6" i="5"/>
  <c r="V6" i="5"/>
  <c r="R6" i="5"/>
  <c r="N6" i="5"/>
  <c r="J6" i="5"/>
  <c r="F677" i="4"/>
  <c r="F683" i="4" s="1"/>
  <c r="K645" i="4"/>
  <c r="J645" i="4"/>
  <c r="I645" i="4"/>
  <c r="K644" i="4"/>
  <c r="J644" i="4"/>
  <c r="I644" i="4"/>
  <c r="K642" i="4"/>
  <c r="J642" i="4"/>
  <c r="I642" i="4"/>
  <c r="K641" i="4"/>
  <c r="J641" i="4"/>
  <c r="I641" i="4"/>
  <c r="K640" i="4"/>
  <c r="J640" i="4"/>
  <c r="I640" i="4"/>
  <c r="F624" i="4"/>
  <c r="F630" i="4" s="1"/>
  <c r="K607" i="4"/>
  <c r="J607" i="4"/>
  <c r="I607" i="4"/>
  <c r="K606" i="4"/>
  <c r="J606" i="4"/>
  <c r="I606" i="4"/>
  <c r="K605" i="4"/>
  <c r="J605" i="4"/>
  <c r="I605" i="4"/>
  <c r="K603" i="4"/>
  <c r="J603" i="4"/>
  <c r="I603" i="4"/>
  <c r="K602" i="4"/>
  <c r="J602" i="4"/>
  <c r="I602" i="4"/>
  <c r="K601" i="4"/>
  <c r="J601" i="4"/>
  <c r="I601" i="4"/>
  <c r="K594" i="4"/>
  <c r="J594" i="4"/>
  <c r="I594" i="4"/>
  <c r="K593" i="4"/>
  <c r="J593" i="4"/>
  <c r="I593" i="4"/>
  <c r="K592" i="4"/>
  <c r="J592" i="4"/>
  <c r="I592" i="4"/>
  <c r="K591" i="4"/>
  <c r="J591" i="4"/>
  <c r="I591" i="4"/>
  <c r="K587" i="4"/>
  <c r="J587" i="4"/>
  <c r="I587" i="4"/>
  <c r="K586" i="4"/>
  <c r="J586" i="4"/>
  <c r="I586" i="4"/>
  <c r="K588" i="4"/>
  <c r="J588" i="4"/>
  <c r="I588" i="4"/>
  <c r="K584" i="4"/>
  <c r="J584" i="4"/>
  <c r="I584" i="4"/>
  <c r="K583" i="4"/>
  <c r="J583" i="4"/>
  <c r="I583" i="4"/>
  <c r="K582" i="4"/>
  <c r="J582" i="4"/>
  <c r="I582" i="4"/>
  <c r="K581" i="4"/>
  <c r="J581" i="4"/>
  <c r="I581" i="4"/>
  <c r="K580" i="4"/>
  <c r="J580" i="4"/>
  <c r="I580" i="4"/>
  <c r="K578" i="4"/>
  <c r="J578" i="4"/>
  <c r="I578" i="4"/>
  <c r="K577" i="4"/>
  <c r="J577" i="4"/>
  <c r="I577" i="4"/>
  <c r="K585" i="4"/>
  <c r="J585" i="4"/>
  <c r="I585" i="4"/>
  <c r="K575" i="4"/>
  <c r="J575" i="4"/>
  <c r="I575" i="4"/>
  <c r="K574" i="4"/>
  <c r="J574" i="4"/>
  <c r="I574" i="4"/>
  <c r="K573" i="4"/>
  <c r="J573" i="4"/>
  <c r="I573" i="4"/>
  <c r="K572" i="4"/>
  <c r="J572" i="4"/>
  <c r="I572" i="4"/>
  <c r="K571" i="4"/>
  <c r="J571" i="4"/>
  <c r="I571" i="4"/>
  <c r="K576" i="4"/>
  <c r="J576" i="4"/>
  <c r="I576" i="4"/>
  <c r="K570" i="4"/>
  <c r="J570" i="4"/>
  <c r="I570" i="4"/>
  <c r="K569" i="4"/>
  <c r="J569" i="4"/>
  <c r="I569" i="4"/>
  <c r="K567" i="4"/>
  <c r="J567" i="4"/>
  <c r="I567" i="4"/>
  <c r="K565" i="4"/>
  <c r="J565" i="4"/>
  <c r="I565" i="4"/>
  <c r="K564" i="4"/>
  <c r="J564" i="4"/>
  <c r="I564" i="4"/>
  <c r="K557" i="4"/>
  <c r="J557" i="4"/>
  <c r="I557" i="4"/>
  <c r="K556" i="4"/>
  <c r="J556" i="4"/>
  <c r="I556" i="4"/>
  <c r="K548" i="4"/>
  <c r="J548" i="4"/>
  <c r="I548" i="4"/>
  <c r="K543" i="4"/>
  <c r="J543" i="4"/>
  <c r="I543" i="4"/>
  <c r="K541" i="4"/>
  <c r="J541" i="4"/>
  <c r="I541" i="4"/>
  <c r="K540" i="4"/>
  <c r="J540" i="4"/>
  <c r="I540" i="4"/>
  <c r="K531" i="4"/>
  <c r="J531" i="4"/>
  <c r="I531" i="4"/>
  <c r="K530" i="4"/>
  <c r="J530" i="4"/>
  <c r="I530" i="4"/>
  <c r="K529" i="4"/>
  <c r="J529" i="4"/>
  <c r="I529" i="4"/>
  <c r="K527" i="4"/>
  <c r="J527" i="4"/>
  <c r="I527" i="4"/>
  <c r="K526" i="4"/>
  <c r="J526" i="4"/>
  <c r="I526" i="4"/>
  <c r="K525" i="4"/>
  <c r="J525" i="4"/>
  <c r="I525" i="4"/>
  <c r="K524" i="4"/>
  <c r="J524" i="4"/>
  <c r="I524" i="4"/>
  <c r="K523" i="4"/>
  <c r="J523" i="4"/>
  <c r="I523" i="4"/>
  <c r="K522" i="4"/>
  <c r="J522" i="4"/>
  <c r="I522" i="4"/>
  <c r="K521" i="4"/>
  <c r="J521" i="4"/>
  <c r="I521" i="4"/>
  <c r="K520" i="4"/>
  <c r="J520" i="4"/>
  <c r="I520" i="4"/>
  <c r="K515" i="4"/>
  <c r="J515" i="4"/>
  <c r="I515" i="4"/>
  <c r="K514" i="4"/>
  <c r="J514" i="4"/>
  <c r="I514" i="4"/>
  <c r="K513" i="4"/>
  <c r="J513" i="4"/>
  <c r="I513" i="4"/>
  <c r="K511" i="4"/>
  <c r="J511" i="4"/>
  <c r="I511" i="4"/>
  <c r="K510" i="4"/>
  <c r="J510" i="4"/>
  <c r="I510" i="4"/>
  <c r="K509" i="4"/>
  <c r="J509" i="4"/>
  <c r="I509" i="4"/>
  <c r="K508" i="4"/>
  <c r="J508" i="4"/>
  <c r="I508" i="4"/>
  <c r="K504" i="4"/>
  <c r="J504" i="4"/>
  <c r="I504" i="4"/>
  <c r="K503" i="4"/>
  <c r="J503" i="4"/>
  <c r="I503" i="4"/>
  <c r="K502" i="4"/>
  <c r="J502" i="4"/>
  <c r="I502" i="4"/>
  <c r="K497" i="4"/>
  <c r="J497" i="4"/>
  <c r="I497" i="4"/>
  <c r="K496" i="4"/>
  <c r="J496" i="4"/>
  <c r="I496" i="4"/>
  <c r="K495" i="4"/>
  <c r="J495" i="4"/>
  <c r="I495" i="4"/>
  <c r="K455" i="4"/>
  <c r="J455" i="4"/>
  <c r="I455" i="4"/>
  <c r="K471" i="4"/>
  <c r="J471" i="4"/>
  <c r="I471" i="4"/>
  <c r="K468" i="4"/>
  <c r="J468" i="4"/>
  <c r="I468" i="4"/>
  <c r="K467" i="4"/>
  <c r="J467" i="4"/>
  <c r="I467" i="4"/>
  <c r="K466" i="4"/>
  <c r="J466" i="4"/>
  <c r="I466" i="4"/>
  <c r="K465" i="4"/>
  <c r="J465" i="4"/>
  <c r="I465" i="4"/>
  <c r="K464" i="4"/>
  <c r="J464" i="4"/>
  <c r="I464" i="4"/>
  <c r="K463" i="4"/>
  <c r="J463" i="4"/>
  <c r="I463" i="4"/>
  <c r="K462" i="4"/>
  <c r="J462" i="4"/>
  <c r="I462" i="4"/>
  <c r="K461" i="4"/>
  <c r="J461" i="4"/>
  <c r="I461" i="4"/>
  <c r="K460" i="4"/>
  <c r="J460" i="4"/>
  <c r="I460" i="4"/>
  <c r="K459" i="4"/>
  <c r="J459" i="4"/>
  <c r="I459" i="4"/>
  <c r="K458" i="4"/>
  <c r="J458" i="4"/>
  <c r="I458" i="4"/>
  <c r="K457" i="4"/>
  <c r="J457" i="4"/>
  <c r="I457" i="4"/>
  <c r="K453" i="4"/>
  <c r="J453" i="4"/>
  <c r="I453" i="4"/>
  <c r="K451" i="4"/>
  <c r="J451" i="4"/>
  <c r="I451" i="4"/>
  <c r="K449" i="4"/>
  <c r="J449" i="4"/>
  <c r="I449" i="4"/>
  <c r="K448" i="4"/>
  <c r="J448" i="4"/>
  <c r="I448" i="4"/>
  <c r="K441" i="4"/>
  <c r="J441" i="4"/>
  <c r="I441" i="4"/>
  <c r="K440" i="4"/>
  <c r="J440" i="4"/>
  <c r="I440" i="4"/>
  <c r="K439" i="4"/>
  <c r="J439" i="4"/>
  <c r="I439" i="4"/>
  <c r="K415" i="4"/>
  <c r="J415" i="4"/>
  <c r="I415" i="4"/>
  <c r="K414" i="4"/>
  <c r="J414" i="4"/>
  <c r="I414" i="4"/>
  <c r="K413" i="4"/>
  <c r="J413" i="4"/>
  <c r="I413" i="4"/>
  <c r="K411" i="4"/>
  <c r="J411" i="4"/>
  <c r="I411" i="4"/>
  <c r="K410" i="4"/>
  <c r="J410" i="4"/>
  <c r="I410" i="4"/>
  <c r="K424" i="4"/>
  <c r="J424" i="4"/>
  <c r="I424" i="4"/>
  <c r="K426" i="4"/>
  <c r="J426" i="4"/>
  <c r="I426" i="4"/>
  <c r="K425" i="4"/>
  <c r="J425" i="4"/>
  <c r="I425" i="4"/>
  <c r="K423" i="4"/>
  <c r="J423" i="4"/>
  <c r="I423" i="4"/>
  <c r="K422" i="4"/>
  <c r="J422" i="4"/>
  <c r="I422" i="4"/>
  <c r="K421" i="4"/>
  <c r="J421" i="4"/>
  <c r="I421" i="4"/>
  <c r="K438" i="4"/>
  <c r="J438" i="4"/>
  <c r="I438" i="4"/>
  <c r="K436" i="4"/>
  <c r="J436" i="4"/>
  <c r="K434" i="4"/>
  <c r="J434" i="4"/>
  <c r="I434" i="4"/>
  <c r="K433" i="4"/>
  <c r="J433" i="4"/>
  <c r="I433" i="4"/>
  <c r="K420" i="4"/>
  <c r="J420" i="4"/>
  <c r="I420" i="4"/>
  <c r="K419" i="4"/>
  <c r="J419" i="4"/>
  <c r="I419" i="4"/>
  <c r="K409" i="4"/>
  <c r="J409" i="4"/>
  <c r="I409" i="4"/>
  <c r="K408" i="4"/>
  <c r="J408" i="4"/>
  <c r="I408" i="4"/>
  <c r="K407" i="4"/>
  <c r="J407" i="4"/>
  <c r="I407" i="4"/>
  <c r="K406" i="4"/>
  <c r="J406" i="4"/>
  <c r="I406" i="4"/>
  <c r="K405" i="4"/>
  <c r="J405" i="4"/>
  <c r="I405" i="4"/>
  <c r="K394" i="4"/>
  <c r="J394" i="4"/>
  <c r="I394" i="4"/>
  <c r="K393" i="4"/>
  <c r="J393" i="4"/>
  <c r="I393" i="4"/>
  <c r="K392" i="4"/>
  <c r="J392" i="4"/>
  <c r="I392" i="4"/>
  <c r="K391" i="4"/>
  <c r="J391" i="4"/>
  <c r="I391" i="4"/>
  <c r="K389" i="4"/>
  <c r="J389" i="4"/>
  <c r="I389" i="4"/>
  <c r="K388" i="4"/>
  <c r="J388" i="4"/>
  <c r="I388" i="4"/>
  <c r="K387" i="4"/>
  <c r="J387" i="4"/>
  <c r="I387" i="4"/>
  <c r="K386" i="4"/>
  <c r="J386" i="4"/>
  <c r="I386" i="4"/>
  <c r="K384" i="4"/>
  <c r="J384" i="4"/>
  <c r="K382" i="4"/>
  <c r="J382" i="4"/>
  <c r="K375" i="4"/>
  <c r="J375" i="4"/>
  <c r="K361" i="4"/>
  <c r="J361" i="4"/>
  <c r="I361" i="4"/>
  <c r="K355" i="4"/>
  <c r="J355" i="4"/>
  <c r="I355" i="4"/>
  <c r="K354" i="4"/>
  <c r="J354" i="4"/>
  <c r="I354" i="4"/>
  <c r="K352" i="4"/>
  <c r="J352" i="4"/>
  <c r="I352" i="4"/>
  <c r="K351" i="4"/>
  <c r="J351" i="4"/>
  <c r="I351" i="4"/>
  <c r="K350" i="4"/>
  <c r="J350" i="4"/>
  <c r="I350" i="4"/>
  <c r="K349" i="4"/>
  <c r="J349" i="4"/>
  <c r="I349" i="4"/>
  <c r="K348" i="4"/>
  <c r="J348" i="4"/>
  <c r="I348" i="4"/>
  <c r="K347" i="4"/>
  <c r="J347" i="4"/>
  <c r="I347" i="4"/>
  <c r="K346" i="4"/>
  <c r="J346" i="4"/>
  <c r="I346" i="4"/>
  <c r="K345" i="4"/>
  <c r="J345" i="4"/>
  <c r="I345" i="4"/>
  <c r="K344" i="4"/>
  <c r="J344" i="4"/>
  <c r="I344" i="4"/>
  <c r="K343" i="4"/>
  <c r="J343" i="4"/>
  <c r="I343" i="4"/>
  <c r="K341" i="4"/>
  <c r="J341" i="4"/>
  <c r="I341" i="4"/>
  <c r="K339" i="4"/>
  <c r="J339" i="4"/>
  <c r="I339" i="4"/>
  <c r="K338" i="4"/>
  <c r="J338" i="4"/>
  <c r="I338" i="4"/>
  <c r="K337" i="4"/>
  <c r="J337" i="4"/>
  <c r="I337" i="4"/>
  <c r="K334" i="4"/>
  <c r="J334" i="4"/>
  <c r="I334" i="4"/>
  <c r="K333" i="4"/>
  <c r="J333" i="4"/>
  <c r="I333" i="4"/>
  <c r="K332" i="4"/>
  <c r="J332" i="4"/>
  <c r="I332" i="4"/>
  <c r="K308" i="4"/>
  <c r="J308" i="4"/>
  <c r="I308" i="4"/>
  <c r="K307" i="4"/>
  <c r="J307" i="4"/>
  <c r="I307" i="4"/>
  <c r="K299" i="4"/>
  <c r="J299" i="4"/>
  <c r="I299" i="4"/>
  <c r="K298" i="4"/>
  <c r="J298" i="4"/>
  <c r="I298" i="4"/>
  <c r="K297" i="4"/>
  <c r="J297" i="4"/>
  <c r="I297" i="4"/>
  <c r="K292" i="4"/>
  <c r="J292" i="4"/>
  <c r="K291" i="4"/>
  <c r="J291" i="4"/>
  <c r="K294" i="4"/>
  <c r="J294" i="4"/>
  <c r="K293" i="4"/>
  <c r="J293" i="4"/>
  <c r="K288" i="4"/>
  <c r="J288" i="4"/>
  <c r="I288" i="4"/>
  <c r="K287" i="4"/>
  <c r="J287" i="4"/>
  <c r="I287" i="4"/>
  <c r="K274" i="4"/>
  <c r="J274" i="4"/>
  <c r="I274" i="4"/>
  <c r="K273" i="4"/>
  <c r="J273" i="4"/>
  <c r="I273" i="4"/>
  <c r="K285" i="4"/>
  <c r="J285" i="4"/>
  <c r="I285" i="4"/>
  <c r="K280" i="4"/>
  <c r="J280" i="4"/>
  <c r="I280" i="4"/>
  <c r="K247" i="4"/>
  <c r="J247" i="4"/>
  <c r="I247" i="4"/>
  <c r="K246" i="4"/>
  <c r="J246" i="4"/>
  <c r="I246" i="4"/>
  <c r="K245" i="4"/>
  <c r="J245" i="4"/>
  <c r="I245" i="4"/>
  <c r="K244" i="4"/>
  <c r="J244" i="4"/>
  <c r="I244" i="4"/>
  <c r="K275" i="4"/>
  <c r="J275" i="4"/>
  <c r="I275" i="4"/>
  <c r="K276" i="4"/>
  <c r="J276" i="4"/>
  <c r="I276" i="4"/>
  <c r="K279" i="4"/>
  <c r="J279" i="4"/>
  <c r="I279" i="4"/>
  <c r="K278" i="4"/>
  <c r="J278" i="4"/>
  <c r="I278" i="4"/>
  <c r="K277" i="4"/>
  <c r="J277" i="4"/>
  <c r="I277" i="4"/>
  <c r="K259" i="4"/>
  <c r="J259" i="4"/>
  <c r="I259" i="4"/>
  <c r="K281" i="4"/>
  <c r="J281" i="4"/>
  <c r="I281" i="4"/>
  <c r="K272" i="4"/>
  <c r="J272" i="4"/>
  <c r="I272" i="4"/>
  <c r="K270" i="4"/>
  <c r="J270" i="4"/>
  <c r="I270" i="4"/>
  <c r="K269" i="4"/>
  <c r="J269" i="4"/>
  <c r="I269" i="4"/>
  <c r="K268" i="4"/>
  <c r="J268" i="4"/>
  <c r="I268" i="4"/>
  <c r="K264" i="4"/>
  <c r="J264" i="4"/>
  <c r="I264" i="4"/>
  <c r="K262" i="4"/>
  <c r="J262" i="4"/>
  <c r="I262" i="4"/>
  <c r="K258" i="4"/>
  <c r="J258" i="4"/>
  <c r="I258" i="4"/>
  <c r="K256" i="4"/>
  <c r="J256" i="4"/>
  <c r="I256" i="4"/>
  <c r="K255" i="4"/>
  <c r="J255" i="4"/>
  <c r="I255" i="4"/>
  <c r="K254" i="4"/>
  <c r="J254" i="4"/>
  <c r="I254" i="4"/>
  <c r="K253" i="4"/>
  <c r="J253" i="4"/>
  <c r="I253" i="4"/>
  <c r="K252" i="4"/>
  <c r="J252" i="4"/>
  <c r="I252" i="4"/>
  <c r="K251" i="4"/>
  <c r="J251" i="4"/>
  <c r="I251" i="4"/>
  <c r="K250" i="4"/>
  <c r="J250" i="4"/>
  <c r="I250" i="4"/>
  <c r="K249" i="4"/>
  <c r="J249" i="4"/>
  <c r="I249" i="4"/>
  <c r="K248" i="4"/>
  <c r="J248" i="4"/>
  <c r="I248" i="4"/>
  <c r="K242" i="4"/>
  <c r="J242" i="4"/>
  <c r="I242" i="4"/>
  <c r="K241" i="4"/>
  <c r="J241" i="4"/>
  <c r="I241" i="4"/>
  <c r="K240" i="4"/>
  <c r="J240" i="4"/>
  <c r="I240" i="4"/>
  <c r="K239" i="4"/>
  <c r="J239" i="4"/>
  <c r="I239" i="4"/>
  <c r="K233" i="4"/>
  <c r="J233" i="4"/>
  <c r="I233" i="4"/>
  <c r="K232" i="4"/>
  <c r="J232" i="4"/>
  <c r="I232" i="4"/>
  <c r="K231" i="4"/>
  <c r="J231" i="4"/>
  <c r="I231" i="4"/>
  <c r="K226" i="4"/>
  <c r="J226" i="4"/>
  <c r="I226" i="4"/>
  <c r="K225" i="4"/>
  <c r="J225" i="4"/>
  <c r="I225" i="4"/>
  <c r="K224" i="4"/>
  <c r="J224" i="4"/>
  <c r="I224" i="4"/>
  <c r="K223" i="4"/>
  <c r="J223" i="4"/>
  <c r="I223" i="4"/>
  <c r="K222" i="4"/>
  <c r="J222" i="4"/>
  <c r="I222" i="4"/>
  <c r="K221" i="4"/>
  <c r="J221" i="4"/>
  <c r="I221" i="4"/>
  <c r="K220" i="4"/>
  <c r="J220" i="4"/>
  <c r="I220" i="4"/>
  <c r="K215" i="4"/>
  <c r="J215" i="4"/>
  <c r="I215" i="4"/>
  <c r="K214" i="4"/>
  <c r="J214" i="4"/>
  <c r="I214" i="4"/>
  <c r="K212" i="4"/>
  <c r="J212" i="4"/>
  <c r="I212" i="4"/>
  <c r="K211" i="4"/>
  <c r="J211" i="4"/>
  <c r="I211" i="4"/>
  <c r="K210" i="4"/>
  <c r="J210" i="4"/>
  <c r="I210" i="4"/>
  <c r="K208" i="4"/>
  <c r="J208" i="4"/>
  <c r="I208" i="4"/>
  <c r="K206" i="4"/>
  <c r="J206" i="4"/>
  <c r="I206" i="4"/>
  <c r="K205" i="4"/>
  <c r="J205" i="4"/>
  <c r="I205" i="4"/>
  <c r="K203" i="4"/>
  <c r="J203" i="4"/>
  <c r="I203" i="4"/>
  <c r="K202" i="4"/>
  <c r="J202" i="4"/>
  <c r="I202" i="4"/>
  <c r="K201" i="4"/>
  <c r="J201" i="4"/>
  <c r="I201" i="4"/>
  <c r="K200" i="4"/>
  <c r="J200" i="4"/>
  <c r="I200" i="4"/>
  <c r="K199" i="4"/>
  <c r="J199" i="4"/>
  <c r="I199" i="4"/>
  <c r="K198" i="4"/>
  <c r="J198" i="4"/>
  <c r="I198" i="4"/>
  <c r="K197" i="4"/>
  <c r="J197" i="4"/>
  <c r="I197" i="4"/>
  <c r="K196" i="4"/>
  <c r="J196" i="4"/>
  <c r="I196" i="4"/>
  <c r="K190" i="4"/>
  <c r="J190" i="4"/>
  <c r="I190" i="4"/>
  <c r="K188" i="4"/>
  <c r="J188" i="4"/>
  <c r="I188" i="4"/>
  <c r="K187" i="4"/>
  <c r="J187" i="4"/>
  <c r="I187" i="4"/>
  <c r="K186" i="4"/>
  <c r="J186" i="4"/>
  <c r="I186" i="4"/>
  <c r="K184" i="4"/>
  <c r="J184" i="4"/>
  <c r="I184" i="4"/>
  <c r="K183" i="4"/>
  <c r="J183" i="4"/>
  <c r="I183" i="4"/>
  <c r="K182" i="4"/>
  <c r="J182" i="4"/>
  <c r="I182" i="4"/>
  <c r="K181" i="4"/>
  <c r="J181" i="4"/>
  <c r="I181" i="4"/>
  <c r="K176" i="4"/>
  <c r="J176" i="4"/>
  <c r="I176" i="4"/>
  <c r="K173" i="4"/>
  <c r="J173" i="4"/>
  <c r="I173" i="4"/>
  <c r="K175" i="4"/>
  <c r="J175" i="4"/>
  <c r="I175" i="4"/>
  <c r="K172" i="4"/>
  <c r="J172" i="4"/>
  <c r="I172" i="4"/>
  <c r="K170" i="4"/>
  <c r="J170" i="4"/>
  <c r="I170" i="4"/>
  <c r="K169" i="4"/>
  <c r="J169" i="4"/>
  <c r="I169" i="4"/>
  <c r="K164" i="4"/>
  <c r="J164" i="4"/>
  <c r="I164" i="4"/>
  <c r="K163" i="4"/>
  <c r="J163" i="4"/>
  <c r="I163" i="4"/>
  <c r="K162" i="4"/>
  <c r="J162" i="4"/>
  <c r="I162" i="4"/>
  <c r="K159" i="4"/>
  <c r="J159" i="4"/>
  <c r="I159" i="4"/>
  <c r="K157" i="4"/>
  <c r="J157" i="4"/>
  <c r="I157" i="4"/>
  <c r="K156" i="4"/>
  <c r="J156" i="4"/>
  <c r="I156" i="4"/>
  <c r="K155" i="4"/>
  <c r="J155" i="4"/>
  <c r="I155" i="4"/>
  <c r="K154" i="4"/>
  <c r="J154" i="4"/>
  <c r="I154" i="4"/>
  <c r="K153" i="4"/>
  <c r="J153" i="4"/>
  <c r="I153" i="4"/>
  <c r="K152" i="4"/>
  <c r="J152" i="4"/>
  <c r="I152" i="4"/>
  <c r="K147" i="4"/>
  <c r="J147" i="4"/>
  <c r="I147" i="4"/>
  <c r="K146" i="4"/>
  <c r="J146" i="4"/>
  <c r="I146" i="4"/>
  <c r="K145" i="4"/>
  <c r="J145" i="4"/>
  <c r="I145" i="4"/>
  <c r="K144" i="4"/>
  <c r="J144" i="4"/>
  <c r="I144" i="4"/>
  <c r="K140" i="4"/>
  <c r="J140" i="4"/>
  <c r="I140" i="4"/>
  <c r="K139" i="4"/>
  <c r="J139" i="4"/>
  <c r="I139" i="4"/>
  <c r="K138" i="4"/>
  <c r="J138" i="4"/>
  <c r="I138" i="4"/>
  <c r="K134" i="4"/>
  <c r="J134" i="4"/>
  <c r="I134" i="4"/>
  <c r="K133" i="4"/>
  <c r="J133" i="4"/>
  <c r="I133" i="4"/>
  <c r="K128" i="4"/>
  <c r="J128" i="4"/>
  <c r="I128" i="4"/>
  <c r="K127" i="4"/>
  <c r="J127" i="4"/>
  <c r="I127" i="4"/>
  <c r="K120" i="4"/>
  <c r="J120" i="4"/>
  <c r="I120" i="4"/>
  <c r="K119" i="4"/>
  <c r="J119" i="4"/>
  <c r="I119" i="4"/>
  <c r="K118" i="4"/>
  <c r="J118" i="4"/>
  <c r="I118" i="4"/>
  <c r="K693" i="4"/>
  <c r="K694" i="4" s="1"/>
  <c r="K78" i="4"/>
  <c r="J78" i="4"/>
  <c r="I78" i="4"/>
  <c r="K77" i="4"/>
  <c r="J77" i="4"/>
  <c r="I77" i="4"/>
  <c r="K76" i="4"/>
  <c r="J76" i="4"/>
  <c r="I76" i="4"/>
  <c r="K75" i="4"/>
  <c r="J75" i="4"/>
  <c r="I75" i="4"/>
  <c r="K68" i="4"/>
  <c r="J68" i="4"/>
  <c r="I68" i="4"/>
  <c r="K67" i="4"/>
  <c r="J67" i="4"/>
  <c r="I67" i="4"/>
  <c r="K66" i="4"/>
  <c r="J66" i="4"/>
  <c r="I66" i="4"/>
  <c r="K65" i="4"/>
  <c r="J65" i="4"/>
  <c r="I65" i="4"/>
  <c r="K62" i="4"/>
  <c r="J62" i="4"/>
  <c r="I62" i="4"/>
  <c r="K61" i="4"/>
  <c r="J61" i="4"/>
  <c r="I61" i="4"/>
  <c r="K60" i="4"/>
  <c r="J60" i="4"/>
  <c r="I60" i="4"/>
  <c r="K59" i="4"/>
  <c r="J59" i="4"/>
  <c r="I59" i="4"/>
  <c r="K58" i="4"/>
  <c r="J58" i="4"/>
  <c r="I58" i="4"/>
  <c r="K57" i="4"/>
  <c r="J57" i="4"/>
  <c r="I57" i="4"/>
  <c r="K49" i="4"/>
  <c r="J49" i="4"/>
  <c r="I49" i="4"/>
  <c r="K48" i="4"/>
  <c r="J48" i="4"/>
  <c r="I48" i="4"/>
  <c r="K47" i="4"/>
  <c r="J47" i="4"/>
  <c r="I47" i="4"/>
  <c r="K46" i="4"/>
  <c r="J46" i="4"/>
  <c r="I46" i="4"/>
  <c r="K45" i="4"/>
  <c r="J45" i="4"/>
  <c r="I45" i="4"/>
  <c r="K44" i="4"/>
  <c r="J44" i="4"/>
  <c r="I44" i="4"/>
  <c r="K43" i="4"/>
  <c r="J43" i="4"/>
  <c r="I43" i="4"/>
  <c r="K42" i="4"/>
  <c r="J42" i="4"/>
  <c r="I42" i="4"/>
  <c r="K41" i="4"/>
  <c r="J41" i="4"/>
  <c r="I41" i="4"/>
  <c r="K40" i="4"/>
  <c r="J40" i="4"/>
  <c r="I40" i="4"/>
  <c r="K39" i="4"/>
  <c r="J39" i="4"/>
  <c r="I39" i="4"/>
  <c r="K38" i="4"/>
  <c r="J38" i="4"/>
  <c r="I38" i="4"/>
  <c r="K33" i="4"/>
  <c r="J33" i="4"/>
  <c r="I33" i="4"/>
  <c r="K31" i="4"/>
  <c r="J31" i="4"/>
  <c r="I31" i="4"/>
  <c r="K30" i="4"/>
  <c r="J30" i="4"/>
  <c r="I30" i="4"/>
  <c r="K29" i="4"/>
  <c r="J29" i="4"/>
  <c r="I29" i="4"/>
  <c r="K28" i="4"/>
  <c r="J28" i="4"/>
  <c r="I28" i="4"/>
  <c r="K27" i="4"/>
  <c r="J27" i="4"/>
  <c r="I27" i="4"/>
  <c r="K25" i="4"/>
  <c r="J25" i="4"/>
  <c r="I25" i="4"/>
  <c r="K24" i="4"/>
  <c r="J24" i="4"/>
  <c r="I24" i="4"/>
  <c r="K23" i="4"/>
  <c r="J23" i="4"/>
  <c r="I23" i="4"/>
  <c r="K22" i="4"/>
  <c r="J22" i="4"/>
  <c r="I22" i="4"/>
  <c r="K21" i="4"/>
  <c r="J21" i="4"/>
  <c r="I21" i="4"/>
  <c r="K18" i="4"/>
  <c r="J18" i="4"/>
  <c r="I18" i="4"/>
  <c r="K17" i="4"/>
  <c r="J17" i="4"/>
  <c r="I17" i="4"/>
  <c r="K19" i="4"/>
  <c r="J19" i="4"/>
  <c r="I19" i="4"/>
  <c r="K16" i="4"/>
  <c r="J16" i="4"/>
  <c r="I16" i="4"/>
  <c r="K15" i="4"/>
  <c r="J15" i="4"/>
  <c r="I15" i="4"/>
  <c r="K13" i="4"/>
  <c r="J13" i="4"/>
  <c r="I13" i="4"/>
  <c r="K12" i="4"/>
  <c r="J12" i="4"/>
  <c r="I12" i="4"/>
  <c r="J328" i="4" l="1"/>
  <c r="K328" i="4"/>
  <c r="J115" i="4"/>
  <c r="K115" i="4"/>
  <c r="J53" i="4"/>
  <c r="C7" i="5" s="1"/>
  <c r="K53" i="4"/>
  <c r="C8" i="5"/>
  <c r="D8" i="5"/>
  <c r="J444" i="4"/>
  <c r="C18" i="5" s="1"/>
  <c r="K444" i="4"/>
  <c r="D18" i="5" s="1"/>
  <c r="M18" i="5" s="1"/>
  <c r="K609" i="4"/>
  <c r="D23" i="5" s="1"/>
  <c r="K660" i="4"/>
  <c r="J660" i="4"/>
  <c r="C34" i="5" s="1"/>
  <c r="AQ34" i="5" s="1"/>
  <c r="AQ38" i="5" s="1"/>
  <c r="AQ41" i="5" s="1"/>
  <c r="J492" i="4"/>
  <c r="C19" i="5" s="1"/>
  <c r="K492" i="4"/>
  <c r="D19" i="5" s="1"/>
  <c r="J498" i="4"/>
  <c r="C20" i="5" s="1"/>
  <c r="K498" i="4"/>
  <c r="J609" i="4"/>
  <c r="C23" i="5" s="1"/>
  <c r="J148" i="4"/>
  <c r="K148" i="4"/>
  <c r="D11" i="5" s="1"/>
  <c r="L644" i="4"/>
  <c r="L495" i="4"/>
  <c r="L252" i="4"/>
  <c r="L268" i="4"/>
  <c r="L203" i="4"/>
  <c r="L198" i="4"/>
  <c r="L30" i="4"/>
  <c r="L503" i="4"/>
  <c r="L543" i="4"/>
  <c r="L607" i="4"/>
  <c r="L375" i="4"/>
  <c r="L392" i="4"/>
  <c r="L409" i="4"/>
  <c r="L433" i="4"/>
  <c r="L423" i="4"/>
  <c r="L453" i="4"/>
  <c r="L504" i="4"/>
  <c r="L29" i="4"/>
  <c r="L59" i="4"/>
  <c r="L172" i="4"/>
  <c r="L182" i="4"/>
  <c r="L384" i="4"/>
  <c r="L394" i="4"/>
  <c r="L436" i="4"/>
  <c r="L426" i="4"/>
  <c r="L424" i="4"/>
  <c r="L78" i="4"/>
  <c r="L65" i="4"/>
  <c r="L642" i="4"/>
  <c r="J597" i="4"/>
  <c r="C22" i="5" s="1"/>
  <c r="K597" i="4"/>
  <c r="D22" i="5" s="1"/>
  <c r="L522" i="4"/>
  <c r="L147" i="4"/>
  <c r="L139" i="4"/>
  <c r="L42" i="4"/>
  <c r="L49" i="4"/>
  <c r="K699" i="4"/>
  <c r="K720" i="4" s="1"/>
  <c r="D45" i="5"/>
  <c r="L176" i="4"/>
  <c r="L354" i="4"/>
  <c r="L387" i="4"/>
  <c r="L406" i="4"/>
  <c r="L413" i="4"/>
  <c r="L120" i="4"/>
  <c r="L211" i="4"/>
  <c r="L215" i="4"/>
  <c r="L225" i="4"/>
  <c r="L440" i="4"/>
  <c r="L605" i="4"/>
  <c r="L574" i="4"/>
  <c r="L526" i="4"/>
  <c r="L531" i="4"/>
  <c r="L573" i="4"/>
  <c r="L583" i="4"/>
  <c r="L411" i="4"/>
  <c r="L140" i="4"/>
  <c r="L155" i="4"/>
  <c r="L200" i="4"/>
  <c r="L205" i="4"/>
  <c r="L460" i="4"/>
  <c r="L468" i="4"/>
  <c r="L567" i="4"/>
  <c r="L645" i="4"/>
  <c r="L540" i="4"/>
  <c r="L15" i="4"/>
  <c r="L24" i="4"/>
  <c r="L38" i="4"/>
  <c r="L43" i="4"/>
  <c r="L57" i="4"/>
  <c r="L449" i="4"/>
  <c r="L576" i="4"/>
  <c r="L588" i="4"/>
  <c r="L591" i="4"/>
  <c r="L17" i="4"/>
  <c r="L28" i="4"/>
  <c r="L208" i="4"/>
  <c r="L223" i="4"/>
  <c r="L258" i="4"/>
  <c r="L272" i="4"/>
  <c r="L276" i="4"/>
  <c r="L294" i="4"/>
  <c r="L299" i="4"/>
  <c r="L525" i="4"/>
  <c r="L530" i="4"/>
  <c r="L62" i="4"/>
  <c r="L242" i="4"/>
  <c r="L251" i="4"/>
  <c r="L264" i="4"/>
  <c r="L244" i="4"/>
  <c r="L273" i="4"/>
  <c r="L308" i="4"/>
  <c r="L339" i="4"/>
  <c r="L349" i="4"/>
  <c r="L355" i="4"/>
  <c r="L571" i="4"/>
  <c r="L581" i="4"/>
  <c r="L66" i="4"/>
  <c r="L128" i="4"/>
  <c r="L138" i="4"/>
  <c r="L157" i="4"/>
  <c r="L163" i="4"/>
  <c r="L173" i="4"/>
  <c r="L202" i="4"/>
  <c r="L521" i="4"/>
  <c r="L587" i="4"/>
  <c r="L259" i="4"/>
  <c r="L245" i="4"/>
  <c r="L274" i="4"/>
  <c r="L523" i="4"/>
  <c r="L601" i="4"/>
  <c r="L61" i="4"/>
  <c r="L199" i="4"/>
  <c r="L206" i="4"/>
  <c r="L76" i="4"/>
  <c r="L569" i="4"/>
  <c r="L585" i="4"/>
  <c r="L19" i="4"/>
  <c r="L221" i="4"/>
  <c r="L231" i="4"/>
  <c r="L240" i="4"/>
  <c r="L248" i="4"/>
  <c r="L253" i="4"/>
  <c r="L269" i="4"/>
  <c r="L246" i="4"/>
  <c r="L287" i="4"/>
  <c r="L292" i="4"/>
  <c r="L462" i="4"/>
  <c r="L471" i="4"/>
  <c r="L520" i="4"/>
  <c r="L529" i="4"/>
  <c r="L556" i="4"/>
  <c r="L565" i="4"/>
  <c r="L575" i="4"/>
  <c r="L13" i="4"/>
  <c r="L23" i="4"/>
  <c r="L75" i="4"/>
  <c r="K129" i="4"/>
  <c r="L133" i="4"/>
  <c r="L146" i="4"/>
  <c r="L170" i="4"/>
  <c r="L183" i="4"/>
  <c r="L197" i="4"/>
  <c r="L256" i="4"/>
  <c r="L270" i="4"/>
  <c r="L279" i="4"/>
  <c r="L280" i="4"/>
  <c r="L293" i="4"/>
  <c r="L298" i="4"/>
  <c r="L391" i="4"/>
  <c r="L408" i="4"/>
  <c r="L422" i="4"/>
  <c r="L439" i="4"/>
  <c r="L451" i="4"/>
  <c r="L524" i="4"/>
  <c r="L582" i="4"/>
  <c r="L594" i="4"/>
  <c r="L606" i="4"/>
  <c r="L119" i="4"/>
  <c r="L144" i="4"/>
  <c r="L153" i="4"/>
  <c r="L196" i="4"/>
  <c r="L201" i="4"/>
  <c r="L249" i="4"/>
  <c r="L254" i="4"/>
  <c r="L277" i="4"/>
  <c r="L247" i="4"/>
  <c r="L288" i="4"/>
  <c r="L333" i="4"/>
  <c r="L344" i="4"/>
  <c r="L352" i="4"/>
  <c r="L414" i="4"/>
  <c r="L457" i="4"/>
  <c r="L465" i="4"/>
  <c r="L496" i="4"/>
  <c r="L541" i="4"/>
  <c r="L586" i="4"/>
  <c r="L640" i="4"/>
  <c r="L564" i="4"/>
  <c r="L22" i="4"/>
  <c r="L68" i="4"/>
  <c r="L127" i="4"/>
  <c r="L145" i="4"/>
  <c r="L154" i="4"/>
  <c r="L169" i="4"/>
  <c r="L187" i="4"/>
  <c r="L233" i="4"/>
  <c r="L250" i="4"/>
  <c r="L255" i="4"/>
  <c r="L278" i="4"/>
  <c r="L297" i="4"/>
  <c r="L345" i="4"/>
  <c r="L389" i="4"/>
  <c r="L421" i="4"/>
  <c r="L415" i="4"/>
  <c r="L458" i="4"/>
  <c r="L466" i="4"/>
  <c r="L497" i="4"/>
  <c r="L515" i="4"/>
  <c r="L16" i="4"/>
  <c r="L25" i="4"/>
  <c r="L41" i="4"/>
  <c r="L48" i="4"/>
  <c r="L175" i="4"/>
  <c r="L184" i="4"/>
  <c r="L262" i="4"/>
  <c r="L281" i="4"/>
  <c r="L275" i="4"/>
  <c r="L285" i="4"/>
  <c r="L291" i="4"/>
  <c r="L307" i="4"/>
  <c r="L348" i="4"/>
  <c r="L461" i="4"/>
  <c r="L455" i="4"/>
  <c r="L527" i="4"/>
  <c r="L578" i="4"/>
  <c r="L641" i="4"/>
  <c r="BU14" i="5"/>
  <c r="BU12" i="5"/>
  <c r="BU22" i="5"/>
  <c r="BU9" i="5"/>
  <c r="BU18" i="5"/>
  <c r="BU10" i="5"/>
  <c r="BU11" i="5"/>
  <c r="BU19" i="5"/>
  <c r="BU15" i="5"/>
  <c r="BU20" i="5"/>
  <c r="BU7" i="5"/>
  <c r="BU13" i="5"/>
  <c r="BU21" i="5"/>
  <c r="L603" i="4"/>
  <c r="L602" i="4"/>
  <c r="L572" i="4"/>
  <c r="L557" i="4"/>
  <c r="L584" i="4"/>
  <c r="L580" i="4"/>
  <c r="L593" i="4"/>
  <c r="L570" i="4"/>
  <c r="L577" i="4"/>
  <c r="L592" i="4"/>
  <c r="L548" i="4"/>
  <c r="L509" i="4"/>
  <c r="L513" i="4"/>
  <c r="L508" i="4"/>
  <c r="L511" i="4"/>
  <c r="L510" i="4"/>
  <c r="L514" i="4"/>
  <c r="L463" i="4"/>
  <c r="L464" i="4"/>
  <c r="L459" i="4"/>
  <c r="L467" i="4"/>
  <c r="L382" i="4"/>
  <c r="L393" i="4"/>
  <c r="L419" i="4"/>
  <c r="L434" i="4"/>
  <c r="L425" i="4"/>
  <c r="L410" i="4"/>
  <c r="L388" i="4"/>
  <c r="L407" i="4"/>
  <c r="L441" i="4"/>
  <c r="L386" i="4"/>
  <c r="L405" i="4"/>
  <c r="L420" i="4"/>
  <c r="L438" i="4"/>
  <c r="K356" i="4"/>
  <c r="L338" i="4"/>
  <c r="L347" i="4"/>
  <c r="L341" i="4"/>
  <c r="L350" i="4"/>
  <c r="L334" i="4"/>
  <c r="L332" i="4"/>
  <c r="L343" i="4"/>
  <c r="L351" i="4"/>
  <c r="L337" i="4"/>
  <c r="L346" i="4"/>
  <c r="L226" i="4"/>
  <c r="L224" i="4"/>
  <c r="L222" i="4"/>
  <c r="L239" i="4"/>
  <c r="L232" i="4"/>
  <c r="L241" i="4"/>
  <c r="L212" i="4"/>
  <c r="L181" i="4"/>
  <c r="L188" i="4"/>
  <c r="K177" i="4"/>
  <c r="J177" i="4"/>
  <c r="L156" i="4"/>
  <c r="L159" i="4"/>
  <c r="K141" i="4"/>
  <c r="L134" i="4"/>
  <c r="L118" i="4"/>
  <c r="L60" i="4"/>
  <c r="L77" i="4"/>
  <c r="L67" i="4"/>
  <c r="L39" i="4"/>
  <c r="L45" i="4"/>
  <c r="L40" i="4"/>
  <c r="L47" i="4"/>
  <c r="L46" i="4"/>
  <c r="L44" i="4"/>
  <c r="J34" i="4"/>
  <c r="L33" i="4"/>
  <c r="L32" i="4" s="1"/>
  <c r="L18" i="4"/>
  <c r="L27" i="4"/>
  <c r="L21" i="4"/>
  <c r="L31" i="4"/>
  <c r="L58" i="4"/>
  <c r="J141" i="4"/>
  <c r="C10" i="5" s="1"/>
  <c r="L162" i="4"/>
  <c r="L190" i="4"/>
  <c r="K191" i="4"/>
  <c r="J553" i="4"/>
  <c r="C21" i="5" s="1"/>
  <c r="J165" i="4"/>
  <c r="L164" i="4"/>
  <c r="J191" i="4"/>
  <c r="K216" i="4"/>
  <c r="L502" i="4"/>
  <c r="K553" i="4"/>
  <c r="K165" i="4"/>
  <c r="L12" i="4"/>
  <c r="J129" i="4"/>
  <c r="C9" i="5" s="1"/>
  <c r="K34" i="4"/>
  <c r="D6" i="5" s="1"/>
  <c r="L152" i="4"/>
  <c r="J216" i="4"/>
  <c r="L220" i="4"/>
  <c r="L186" i="4"/>
  <c r="L210" i="4"/>
  <c r="J356" i="4"/>
  <c r="C17" i="5" s="1"/>
  <c r="L214" i="4"/>
  <c r="L361" i="4"/>
  <c r="L448" i="4"/>
  <c r="L37" i="4" l="1"/>
  <c r="L36" i="4" s="1"/>
  <c r="C16" i="5"/>
  <c r="AU16" i="5" s="1"/>
  <c r="D7" i="5"/>
  <c r="AK7" i="5" s="1"/>
  <c r="C15" i="5"/>
  <c r="AI15" i="5" s="1"/>
  <c r="D15" i="5"/>
  <c r="BM15" i="5" s="1"/>
  <c r="D16" i="5"/>
  <c r="AK16" i="5" s="1"/>
  <c r="C13" i="5"/>
  <c r="AI13" i="5" s="1"/>
  <c r="AA23" i="5"/>
  <c r="AM23" i="5"/>
  <c r="AQ23" i="5"/>
  <c r="G23" i="5"/>
  <c r="W23" i="5"/>
  <c r="E23" i="5"/>
  <c r="K23" i="5"/>
  <c r="AI23" i="5"/>
  <c r="S23" i="5"/>
  <c r="O23" i="5"/>
  <c r="AE23" i="5"/>
  <c r="D13" i="5"/>
  <c r="Q13" i="5" s="1"/>
  <c r="C12" i="5"/>
  <c r="AU12" i="5" s="1"/>
  <c r="AC19" i="5"/>
  <c r="D20" i="5"/>
  <c r="U20" i="5" s="1"/>
  <c r="M23" i="5"/>
  <c r="Q23" i="5"/>
  <c r="AG23" i="5"/>
  <c r="AO23" i="5"/>
  <c r="AK23" i="5"/>
  <c r="Y23" i="5"/>
  <c r="AS23" i="5"/>
  <c r="U23" i="5"/>
  <c r="I23" i="5"/>
  <c r="AC23" i="5"/>
  <c r="D9" i="5"/>
  <c r="Y9" i="5" s="1"/>
  <c r="C6" i="5"/>
  <c r="O6" i="5" s="1"/>
  <c r="C14" i="5"/>
  <c r="W14" i="5" s="1"/>
  <c r="D17" i="5"/>
  <c r="Y17" i="5" s="1"/>
  <c r="D12" i="5"/>
  <c r="AG12" i="5" s="1"/>
  <c r="D14" i="5"/>
  <c r="BE14" i="5" s="1"/>
  <c r="C11" i="5"/>
  <c r="BK11" i="5" s="1"/>
  <c r="D10" i="5"/>
  <c r="Q10" i="5" s="1"/>
  <c r="D21" i="5"/>
  <c r="AI21" i="5"/>
  <c r="L56" i="4"/>
  <c r="L14" i="4"/>
  <c r="L452" i="4"/>
  <c r="L359" i="4"/>
  <c r="L358" i="4" s="1"/>
  <c r="L219" i="4"/>
  <c r="L243" i="4"/>
  <c r="J611" i="4"/>
  <c r="L604" i="4"/>
  <c r="K612" i="4"/>
  <c r="K493" i="4"/>
  <c r="BG22" i="5"/>
  <c r="BM22" i="5"/>
  <c r="L143" i="4"/>
  <c r="L501" i="4"/>
  <c r="L643" i="4"/>
  <c r="L639" i="4"/>
  <c r="L638" i="4" s="1"/>
  <c r="L331" i="4"/>
  <c r="L447" i="4"/>
  <c r="L353" i="4"/>
  <c r="L450" i="4"/>
  <c r="L11" i="4"/>
  <c r="L132" i="4"/>
  <c r="L137" i="4"/>
  <c r="L168" i="4"/>
  <c r="BA7" i="5"/>
  <c r="U7" i="5"/>
  <c r="G34" i="5"/>
  <c r="G38" i="5" s="1"/>
  <c r="G41" i="5" s="1"/>
  <c r="L555" i="4"/>
  <c r="L74" i="4"/>
  <c r="L64" i="4"/>
  <c r="AG7" i="5"/>
  <c r="BE7" i="5"/>
  <c r="BI7" i="5"/>
  <c r="Y7" i="5"/>
  <c r="L20" i="4"/>
  <c r="BM45" i="5"/>
  <c r="BM50" i="5" s="1"/>
  <c r="I45" i="5"/>
  <c r="I50" i="5" s="1"/>
  <c r="AW45" i="5"/>
  <c r="AW50" i="5" s="1"/>
  <c r="AC45" i="5"/>
  <c r="AC50" i="5" s="1"/>
  <c r="U45" i="5"/>
  <c r="U50" i="5" s="1"/>
  <c r="D47" i="5"/>
  <c r="D53" i="5" s="1"/>
  <c r="Q45" i="5"/>
  <c r="Q50" i="5" s="1"/>
  <c r="Y45" i="5"/>
  <c r="Y50" i="5" s="1"/>
  <c r="M45" i="5"/>
  <c r="M50" i="5" s="1"/>
  <c r="AO45" i="5"/>
  <c r="AO50" i="5" s="1"/>
  <c r="BE45" i="5"/>
  <c r="BE50" i="5" s="1"/>
  <c r="AK45" i="5"/>
  <c r="AK50" i="5" s="1"/>
  <c r="BI45" i="5"/>
  <c r="BI50" i="5" s="1"/>
  <c r="AG45" i="5"/>
  <c r="AG50" i="5" s="1"/>
  <c r="AS45" i="5"/>
  <c r="AS50" i="5" s="1"/>
  <c r="BA45" i="5"/>
  <c r="BA50" i="5" s="1"/>
  <c r="BQ45" i="5"/>
  <c r="BQ50" i="5" s="1"/>
  <c r="K34" i="5"/>
  <c r="K38" i="5" s="1"/>
  <c r="K41" i="5" s="1"/>
  <c r="AU34" i="5"/>
  <c r="AU38" i="5" s="1"/>
  <c r="E19" i="5"/>
  <c r="O34" i="5"/>
  <c r="O38" i="5" s="1"/>
  <c r="O41" i="5" s="1"/>
  <c r="AS7" i="5"/>
  <c r="BM7" i="5"/>
  <c r="I7" i="5"/>
  <c r="L456" i="4"/>
  <c r="AQ21" i="5"/>
  <c r="L171" i="4"/>
  <c r="C36" i="5"/>
  <c r="C41" i="5" s="1"/>
  <c r="AS19" i="5"/>
  <c r="BK34" i="5"/>
  <c r="BK38" i="5" s="1"/>
  <c r="O22" i="5"/>
  <c r="W34" i="5"/>
  <c r="W38" i="5" s="1"/>
  <c r="W41" i="5" s="1"/>
  <c r="AA34" i="5"/>
  <c r="AA38" i="5" s="1"/>
  <c r="AA41" i="5" s="1"/>
  <c r="AM34" i="5"/>
  <c r="AM38" i="5" s="1"/>
  <c r="AM41" i="5" s="1"/>
  <c r="BG34" i="5"/>
  <c r="BG38" i="5" s="1"/>
  <c r="BC34" i="5"/>
  <c r="BC38" i="5" s="1"/>
  <c r="AM21" i="5"/>
  <c r="AE21" i="5"/>
  <c r="S34" i="5"/>
  <c r="S38" i="5" s="1"/>
  <c r="S41" i="5" s="1"/>
  <c r="L507" i="4"/>
  <c r="L542" i="4"/>
  <c r="AE34" i="5"/>
  <c r="AE38" i="5" s="1"/>
  <c r="AE41" i="5" s="1"/>
  <c r="AI34" i="5"/>
  <c r="AI38" i="5" s="1"/>
  <c r="AI41" i="5" s="1"/>
  <c r="AY34" i="5"/>
  <c r="AY38" i="5" s="1"/>
  <c r="K661" i="4"/>
  <c r="J664" i="4"/>
  <c r="J685" i="4" s="1"/>
  <c r="BO34" i="5"/>
  <c r="BO38" i="5" s="1"/>
  <c r="L204" i="4"/>
  <c r="L516" i="4"/>
  <c r="L195" i="4"/>
  <c r="BK22" i="5"/>
  <c r="W22" i="5"/>
  <c r="S22" i="5"/>
  <c r="L600" i="4"/>
  <c r="AG17" i="5"/>
  <c r="O15" i="5"/>
  <c r="L342" i="4"/>
  <c r="BC15" i="5"/>
  <c r="BQ17" i="5"/>
  <c r="AQ15" i="5"/>
  <c r="L336" i="4"/>
  <c r="BE13" i="5"/>
  <c r="AC17" i="5"/>
  <c r="L117" i="4"/>
  <c r="Y19" i="5"/>
  <c r="AS13" i="5"/>
  <c r="G19" i="5"/>
  <c r="L494" i="4"/>
  <c r="AS18" i="5"/>
  <c r="BA18" i="5"/>
  <c r="I18" i="5"/>
  <c r="BM18" i="5"/>
  <c r="BE18" i="5"/>
  <c r="K445" i="4"/>
  <c r="K54" i="4"/>
  <c r="BE22" i="5"/>
  <c r="M22" i="5"/>
  <c r="BQ22" i="5"/>
  <c r="AC22" i="5"/>
  <c r="AK22" i="5"/>
  <c r="BI22" i="5"/>
  <c r="M13" i="5"/>
  <c r="AO13" i="5"/>
  <c r="AU22" i="5"/>
  <c r="BO14" i="5"/>
  <c r="G12" i="5"/>
  <c r="S21" i="5"/>
  <c r="AS17" i="5"/>
  <c r="AK18" i="5"/>
  <c r="Q22" i="5"/>
  <c r="AO22" i="5"/>
  <c r="K19" i="5"/>
  <c r="S19" i="5"/>
  <c r="AI19" i="5"/>
  <c r="O19" i="5"/>
  <c r="AE19" i="5"/>
  <c r="W19" i="5"/>
  <c r="AQ19" i="5"/>
  <c r="L512" i="4"/>
  <c r="Q19" i="5"/>
  <c r="K142" i="4"/>
  <c r="BI18" i="5"/>
  <c r="AA12" i="5"/>
  <c r="AM12" i="5"/>
  <c r="U19" i="5"/>
  <c r="G15" i="5"/>
  <c r="AY14" i="5"/>
  <c r="AA22" i="5"/>
  <c r="AY12" i="5"/>
  <c r="I19" i="5"/>
  <c r="I22" i="5"/>
  <c r="AC18" i="5"/>
  <c r="AG19" i="5"/>
  <c r="AG18" i="5"/>
  <c r="K21" i="5"/>
  <c r="K12" i="5"/>
  <c r="G14" i="5"/>
  <c r="K22" i="5"/>
  <c r="AM15" i="5"/>
  <c r="BI13" i="5"/>
  <c r="W16" i="5"/>
  <c r="G22" i="5"/>
  <c r="AQ14" i="5"/>
  <c r="AI16" i="5"/>
  <c r="BK15" i="5"/>
  <c r="U18" i="5"/>
  <c r="AO19" i="5"/>
  <c r="Y22" i="5"/>
  <c r="M19" i="5"/>
  <c r="K357" i="4"/>
  <c r="K554" i="4"/>
  <c r="L26" i="4"/>
  <c r="K149" i="4"/>
  <c r="L180" i="4"/>
  <c r="BI17" i="5"/>
  <c r="AW22" i="5"/>
  <c r="AK19" i="5"/>
  <c r="BK14" i="5"/>
  <c r="BC22" i="5"/>
  <c r="AQ12" i="5"/>
  <c r="AM16" i="5"/>
  <c r="BQ13" i="5"/>
  <c r="AY15" i="5"/>
  <c r="U13" i="5"/>
  <c r="AQ22" i="5"/>
  <c r="AM22" i="5"/>
  <c r="BG12" i="5"/>
  <c r="AA21" i="5"/>
  <c r="AO18" i="5"/>
  <c r="AS22" i="5"/>
  <c r="K665" i="4"/>
  <c r="K686" i="4" s="1"/>
  <c r="D34" i="5"/>
  <c r="L151" i="4"/>
  <c r="K35" i="4"/>
  <c r="O14" i="5"/>
  <c r="AU14" i="5"/>
  <c r="BA22" i="5"/>
  <c r="W21" i="5"/>
  <c r="AE22" i="5"/>
  <c r="AW13" i="5"/>
  <c r="I13" i="5"/>
  <c r="AI22" i="5"/>
  <c r="AY22" i="5"/>
  <c r="AA19" i="5"/>
  <c r="G21" i="5"/>
  <c r="Q18" i="5"/>
  <c r="U22" i="5"/>
  <c r="Y18" i="5"/>
  <c r="K598" i="4"/>
  <c r="K130" i="4"/>
  <c r="AW18" i="5"/>
  <c r="AA14" i="5"/>
  <c r="BM13" i="5"/>
  <c r="E22" i="5"/>
  <c r="BO22" i="5"/>
  <c r="AE12" i="5"/>
  <c r="AM19" i="5"/>
  <c r="O21" i="5"/>
  <c r="BQ18" i="5"/>
  <c r="AG22" i="5"/>
  <c r="S6" i="5"/>
  <c r="AY6" i="5"/>
  <c r="K329" i="4"/>
  <c r="L209" i="4"/>
  <c r="K217" i="4"/>
  <c r="K192" i="4"/>
  <c r="K178" i="4"/>
  <c r="L158" i="4"/>
  <c r="K166" i="4"/>
  <c r="K610" i="4"/>
  <c r="L185" i="4"/>
  <c r="K499" i="4"/>
  <c r="L218" i="4" l="1"/>
  <c r="BC16" i="5"/>
  <c r="W15" i="5"/>
  <c r="S15" i="5"/>
  <c r="BO15" i="5"/>
  <c r="K15" i="5"/>
  <c r="AU15" i="5"/>
  <c r="AA15" i="5"/>
  <c r="AG13" i="5"/>
  <c r="AK13" i="5"/>
  <c r="Y13" i="5"/>
  <c r="O12" i="5"/>
  <c r="AI12" i="5"/>
  <c r="BO12" i="5"/>
  <c r="BC12" i="5"/>
  <c r="S12" i="5"/>
  <c r="BK12" i="5"/>
  <c r="W12" i="5"/>
  <c r="AO7" i="5"/>
  <c r="BQ7" i="5"/>
  <c r="AM6" i="5"/>
  <c r="BK6" i="5"/>
  <c r="E6" i="5"/>
  <c r="M7" i="5"/>
  <c r="AC7" i="5"/>
  <c r="AE15" i="5"/>
  <c r="BG15" i="5"/>
  <c r="AW7" i="5"/>
  <c r="AW17" i="5"/>
  <c r="BE12" i="5"/>
  <c r="BE15" i="5"/>
  <c r="BM12" i="5"/>
  <c r="Y12" i="5"/>
  <c r="Q12" i="5"/>
  <c r="AC12" i="5"/>
  <c r="E12" i="5"/>
  <c r="I12" i="5"/>
  <c r="L446" i="4"/>
  <c r="I16" i="5"/>
  <c r="BO13" i="5"/>
  <c r="M20" i="5"/>
  <c r="AW16" i="5"/>
  <c r="AK20" i="5"/>
  <c r="I14" i="5"/>
  <c r="AY11" i="5"/>
  <c r="AK14" i="5"/>
  <c r="BC6" i="5"/>
  <c r="BK16" i="5"/>
  <c r="AE6" i="5"/>
  <c r="E14" i="5"/>
  <c r="AI6" i="5"/>
  <c r="BM14" i="5"/>
  <c r="AO20" i="5"/>
  <c r="G16" i="5"/>
  <c r="M16" i="5"/>
  <c r="AG16" i="5"/>
  <c r="BO16" i="5"/>
  <c r="BA16" i="5"/>
  <c r="Y14" i="5"/>
  <c r="AQ6" i="5"/>
  <c r="U14" i="5"/>
  <c r="BE16" i="5"/>
  <c r="AO16" i="5"/>
  <c r="BI14" i="5"/>
  <c r="BQ16" i="5"/>
  <c r="K6" i="5"/>
  <c r="AG20" i="5"/>
  <c r="AE16" i="5"/>
  <c r="BG16" i="5"/>
  <c r="AA16" i="5"/>
  <c r="S16" i="5"/>
  <c r="AQ16" i="5"/>
  <c r="BO6" i="5"/>
  <c r="W6" i="5"/>
  <c r="I20" i="5"/>
  <c r="E16" i="5"/>
  <c r="K16" i="5"/>
  <c r="AS20" i="5"/>
  <c r="AG14" i="5"/>
  <c r="AU6" i="5"/>
  <c r="AA6" i="5"/>
  <c r="G6" i="5"/>
  <c r="Q20" i="5"/>
  <c r="AY16" i="5"/>
  <c r="BG6" i="5"/>
  <c r="Y20" i="5"/>
  <c r="U16" i="5"/>
  <c r="AC16" i="5"/>
  <c r="O16" i="5"/>
  <c r="BA14" i="5"/>
  <c r="Q7" i="5"/>
  <c r="AK10" i="5"/>
  <c r="AS10" i="5"/>
  <c r="AO10" i="5"/>
  <c r="Y10" i="5"/>
  <c r="BQ10" i="5"/>
  <c r="BM10" i="5"/>
  <c r="I10" i="5"/>
  <c r="U10" i="5"/>
  <c r="AG10" i="5"/>
  <c r="BI10" i="5"/>
  <c r="BA10" i="5"/>
  <c r="BE10" i="5"/>
  <c r="M10" i="5"/>
  <c r="AW10" i="5"/>
  <c r="AC10" i="5"/>
  <c r="K11" i="5"/>
  <c r="AA11" i="5"/>
  <c r="O11" i="5"/>
  <c r="AA13" i="5"/>
  <c r="BE9" i="5"/>
  <c r="U9" i="5"/>
  <c r="M9" i="5"/>
  <c r="AW9" i="5"/>
  <c r="AS9" i="5"/>
  <c r="AE13" i="5"/>
  <c r="BC13" i="5"/>
  <c r="AK9" i="5"/>
  <c r="S11" i="5"/>
  <c r="G13" i="5"/>
  <c r="AI11" i="5"/>
  <c r="W13" i="5"/>
  <c r="AG9" i="5"/>
  <c r="Q9" i="5"/>
  <c r="BC11" i="5"/>
  <c r="M14" i="5"/>
  <c r="BQ14" i="5"/>
  <c r="O13" i="5"/>
  <c r="AO9" i="5"/>
  <c r="BM16" i="5"/>
  <c r="Q14" i="5"/>
  <c r="BG11" i="5"/>
  <c r="BI16" i="5"/>
  <c r="W11" i="5"/>
  <c r="BI9" i="5"/>
  <c r="AW14" i="5"/>
  <c r="E13" i="5"/>
  <c r="AC20" i="5"/>
  <c r="AS16" i="5"/>
  <c r="AO14" i="5"/>
  <c r="BG13" i="5"/>
  <c r="AS14" i="5"/>
  <c r="AQ11" i="5"/>
  <c r="BA9" i="5"/>
  <c r="AE11" i="5"/>
  <c r="I9" i="5"/>
  <c r="BO11" i="5"/>
  <c r="AC9" i="5"/>
  <c r="BM9" i="5"/>
  <c r="AC14" i="5"/>
  <c r="Q16" i="5"/>
  <c r="BQ9" i="5"/>
  <c r="Y16" i="5"/>
  <c r="AU11" i="5"/>
  <c r="BA12" i="5"/>
  <c r="AW12" i="5"/>
  <c r="U12" i="5"/>
  <c r="M12" i="5"/>
  <c r="AS12" i="5"/>
  <c r="BI12" i="5"/>
  <c r="BQ12" i="5"/>
  <c r="AK12" i="5"/>
  <c r="AO12" i="5"/>
  <c r="K13" i="5"/>
  <c r="AQ13" i="5"/>
  <c r="S13" i="5"/>
  <c r="BK13" i="5"/>
  <c r="AU13" i="5"/>
  <c r="AM13" i="5"/>
  <c r="BA13" i="5"/>
  <c r="AY13" i="5"/>
  <c r="AC13" i="5"/>
  <c r="BC14" i="5"/>
  <c r="AM14" i="5"/>
  <c r="AI14" i="5"/>
  <c r="K14" i="5"/>
  <c r="S14" i="5"/>
  <c r="BG14" i="5"/>
  <c r="AE14" i="5"/>
  <c r="AM11" i="5"/>
  <c r="M15" i="5"/>
  <c r="AG15" i="5"/>
  <c r="AW15" i="5"/>
  <c r="U17" i="5"/>
  <c r="AO17" i="5"/>
  <c r="BM17" i="5"/>
  <c r="Q17" i="5"/>
  <c r="Q15" i="5"/>
  <c r="BA17" i="5"/>
  <c r="BI15" i="5"/>
  <c r="U15" i="5"/>
  <c r="E15" i="5"/>
  <c r="I15" i="5"/>
  <c r="BA15" i="5"/>
  <c r="AC15" i="5"/>
  <c r="AO15" i="5"/>
  <c r="AS15" i="5"/>
  <c r="I17" i="5"/>
  <c r="AK17" i="5"/>
  <c r="G11" i="5"/>
  <c r="AK15" i="5"/>
  <c r="Y15" i="5"/>
  <c r="BQ15" i="5"/>
  <c r="BE17" i="5"/>
  <c r="M17" i="5"/>
  <c r="L131" i="4"/>
  <c r="L63" i="4"/>
  <c r="L55" i="4" s="1"/>
  <c r="L330" i="4"/>
  <c r="L167" i="4"/>
  <c r="AR38" i="5"/>
  <c r="L500" i="4"/>
  <c r="L599" i="4"/>
  <c r="L194" i="4"/>
  <c r="L193" i="4" s="1"/>
  <c r="K667" i="4"/>
  <c r="L10" i="4"/>
  <c r="BJ50" i="5"/>
  <c r="U53" i="5"/>
  <c r="V50" i="5"/>
  <c r="AG53" i="5"/>
  <c r="AH50" i="5"/>
  <c r="AK53" i="5"/>
  <c r="AL50" i="5"/>
  <c r="AC53" i="5"/>
  <c r="AD50" i="5"/>
  <c r="BF50" i="5"/>
  <c r="AX50" i="5"/>
  <c r="AO53" i="5"/>
  <c r="AP50" i="5"/>
  <c r="I53" i="5"/>
  <c r="J50" i="5"/>
  <c r="BR50" i="5"/>
  <c r="M53" i="5"/>
  <c r="N50" i="5"/>
  <c r="BN50" i="5"/>
  <c r="BB50" i="5"/>
  <c r="Y53" i="5"/>
  <c r="Z50" i="5"/>
  <c r="AS53" i="5"/>
  <c r="AT50" i="5"/>
  <c r="Q53" i="5"/>
  <c r="R50" i="5"/>
  <c r="AZ38" i="5"/>
  <c r="AJ38" i="5"/>
  <c r="X38" i="5"/>
  <c r="BP38" i="5"/>
  <c r="BD38" i="5"/>
  <c r="AB38" i="5"/>
  <c r="L38" i="5"/>
  <c r="BL38" i="5"/>
  <c r="BH38" i="5"/>
  <c r="T38" i="5"/>
  <c r="P38" i="5"/>
  <c r="AN38" i="5"/>
  <c r="AV38" i="5"/>
  <c r="AF38" i="5"/>
  <c r="H38" i="5"/>
  <c r="L150" i="4"/>
  <c r="AQ17" i="5"/>
  <c r="K17" i="5"/>
  <c r="AA17" i="5"/>
  <c r="BG17" i="5"/>
  <c r="O17" i="5"/>
  <c r="AI17" i="5"/>
  <c r="S17" i="5"/>
  <c r="E17" i="5"/>
  <c r="BO17" i="5"/>
  <c r="AE17" i="5"/>
  <c r="G17" i="5"/>
  <c r="AY17" i="5"/>
  <c r="AM17" i="5"/>
  <c r="BK17" i="5"/>
  <c r="BC17" i="5"/>
  <c r="AU17" i="5"/>
  <c r="W17" i="5"/>
  <c r="AM7" i="5"/>
  <c r="AU7" i="5"/>
  <c r="BG7" i="5"/>
  <c r="BO7" i="5"/>
  <c r="AE7" i="5"/>
  <c r="S7" i="5"/>
  <c r="AI7" i="5"/>
  <c r="W7" i="5"/>
  <c r="O7" i="5"/>
  <c r="BC7" i="5"/>
  <c r="AA7" i="5"/>
  <c r="AY7" i="5"/>
  <c r="AQ7" i="5"/>
  <c r="G7" i="5"/>
  <c r="BK7" i="5"/>
  <c r="K7" i="5"/>
  <c r="E7" i="5"/>
  <c r="BE34" i="5"/>
  <c r="BE39" i="5" s="1"/>
  <c r="D36" i="5"/>
  <c r="D42" i="5" s="1"/>
  <c r="AG34" i="5"/>
  <c r="AG39" i="5" s="1"/>
  <c r="AG42" i="5" s="1"/>
  <c r="AC34" i="5"/>
  <c r="AC39" i="5" s="1"/>
  <c r="AC42" i="5" s="1"/>
  <c r="AW34" i="5"/>
  <c r="AW39" i="5" s="1"/>
  <c r="BM34" i="5"/>
  <c r="BM39" i="5" s="1"/>
  <c r="I34" i="5"/>
  <c r="I39" i="5" s="1"/>
  <c r="I42" i="5" s="1"/>
  <c r="Y34" i="5"/>
  <c r="Y39" i="5" s="1"/>
  <c r="Y42" i="5" s="1"/>
  <c r="E34" i="5"/>
  <c r="E36" i="5" s="1"/>
  <c r="Q34" i="5"/>
  <c r="Q39" i="5" s="1"/>
  <c r="Q42" i="5" s="1"/>
  <c r="M34" i="5"/>
  <c r="M39" i="5" s="1"/>
  <c r="M42" i="5" s="1"/>
  <c r="U34" i="5"/>
  <c r="U39" i="5" s="1"/>
  <c r="U42" i="5" s="1"/>
  <c r="AO34" i="5"/>
  <c r="AO39" i="5" s="1"/>
  <c r="AO42" i="5" s="1"/>
  <c r="AK34" i="5"/>
  <c r="AK39" i="5" s="1"/>
  <c r="AK42" i="5" s="1"/>
  <c r="BI34" i="5"/>
  <c r="BI39" i="5" s="1"/>
  <c r="AS34" i="5"/>
  <c r="AS39" i="5" s="1"/>
  <c r="AS42" i="5" s="1"/>
  <c r="BA34" i="5"/>
  <c r="BA39" i="5" s="1"/>
  <c r="BQ34" i="5"/>
  <c r="BQ39" i="5" s="1"/>
  <c r="BI11" i="5"/>
  <c r="U11" i="5"/>
  <c r="BA11" i="5"/>
  <c r="BE11" i="5"/>
  <c r="AG11" i="5"/>
  <c r="AW11" i="5"/>
  <c r="Q11" i="5"/>
  <c r="AC11" i="5"/>
  <c r="BQ11" i="5"/>
  <c r="M11" i="5"/>
  <c r="AO11" i="5"/>
  <c r="Y11" i="5"/>
  <c r="BM11" i="5"/>
  <c r="I11" i="5"/>
  <c r="E11" i="5"/>
  <c r="AS11" i="5"/>
  <c r="AK11" i="5"/>
  <c r="AU18" i="5"/>
  <c r="AY18" i="5"/>
  <c r="AQ18" i="5"/>
  <c r="AM18" i="5"/>
  <c r="S18" i="5"/>
  <c r="G18" i="5"/>
  <c r="E18" i="5"/>
  <c r="BG18" i="5"/>
  <c r="AA18" i="5"/>
  <c r="BK18" i="5"/>
  <c r="AI18" i="5"/>
  <c r="W18" i="5"/>
  <c r="O18" i="5"/>
  <c r="K18" i="5"/>
  <c r="BC18" i="5"/>
  <c r="AE18" i="5"/>
  <c r="BO18" i="5"/>
  <c r="BC10" i="5"/>
  <c r="AE10" i="5"/>
  <c r="S10" i="5"/>
  <c r="AM10" i="5"/>
  <c r="AI10" i="5"/>
  <c r="AQ10" i="5"/>
  <c r="BO10" i="5"/>
  <c r="BG10" i="5"/>
  <c r="K10" i="5"/>
  <c r="AY10" i="5"/>
  <c r="E10" i="5"/>
  <c r="AU10" i="5"/>
  <c r="W10" i="5"/>
  <c r="O10" i="5"/>
  <c r="BK10" i="5"/>
  <c r="AA10" i="5"/>
  <c r="G10" i="5"/>
  <c r="AS6" i="5"/>
  <c r="AW6" i="5"/>
  <c r="Q6" i="5"/>
  <c r="AK6" i="5"/>
  <c r="M6" i="5"/>
  <c r="BM6" i="5"/>
  <c r="I6" i="5"/>
  <c r="BA6" i="5"/>
  <c r="AO6" i="5"/>
  <c r="BQ6" i="5"/>
  <c r="BE6" i="5"/>
  <c r="AG6" i="5"/>
  <c r="U6" i="5"/>
  <c r="Y6" i="5"/>
  <c r="AC6" i="5"/>
  <c r="BI6" i="5"/>
  <c r="AO21" i="5"/>
  <c r="I21" i="5"/>
  <c r="Y21" i="5"/>
  <c r="U21" i="5"/>
  <c r="AK21" i="5"/>
  <c r="AC21" i="5"/>
  <c r="M21" i="5"/>
  <c r="AG21" i="5"/>
  <c r="Q21" i="5"/>
  <c r="AS21" i="5"/>
  <c r="L179" i="4"/>
  <c r="BC9" i="5"/>
  <c r="K9" i="5"/>
  <c r="AQ9" i="5"/>
  <c r="W9" i="5"/>
  <c r="AA9" i="5"/>
  <c r="AE9" i="5"/>
  <c r="BO9" i="5"/>
  <c r="BG9" i="5"/>
  <c r="AI9" i="5"/>
  <c r="G9" i="5"/>
  <c r="E9" i="5"/>
  <c r="AM9" i="5"/>
  <c r="O9" i="5"/>
  <c r="AY9" i="5"/>
  <c r="AU9" i="5"/>
  <c r="BK9" i="5"/>
  <c r="S9" i="5"/>
  <c r="E21" i="5"/>
  <c r="AM20" i="5"/>
  <c r="AA20" i="5"/>
  <c r="AI20" i="5"/>
  <c r="O20" i="5"/>
  <c r="AE20" i="5"/>
  <c r="W20" i="5"/>
  <c r="AQ20" i="5"/>
  <c r="G20" i="5"/>
  <c r="K20" i="5"/>
  <c r="S20" i="5"/>
  <c r="E20" i="5"/>
  <c r="E42" i="5" l="1"/>
  <c r="V39" i="5"/>
  <c r="R39" i="5"/>
  <c r="BB39" i="5"/>
  <c r="BF39" i="5"/>
  <c r="AD39" i="5"/>
  <c r="AH39" i="5"/>
  <c r="AT39" i="5"/>
  <c r="Z39" i="5"/>
  <c r="BJ39" i="5"/>
  <c r="J39" i="5"/>
  <c r="N39" i="5"/>
  <c r="AL39" i="5"/>
  <c r="BN39" i="5"/>
  <c r="BR39" i="5"/>
  <c r="AP39" i="5"/>
  <c r="AX39" i="5"/>
  <c r="J693" i="4" l="1"/>
  <c r="I693" i="4"/>
  <c r="J632" i="4"/>
  <c r="AU8" i="5" l="1"/>
  <c r="AU27" i="5" s="1"/>
  <c r="C25" i="5"/>
  <c r="C30" i="5" s="1"/>
  <c r="J694" i="4"/>
  <c r="L693" i="4"/>
  <c r="L692" i="4" s="1"/>
  <c r="O8" i="5"/>
  <c r="O27" i="5" s="1"/>
  <c r="K8" i="5"/>
  <c r="K27" i="5" s="1"/>
  <c r="K30" i="5" s="1"/>
  <c r="AQ8" i="5"/>
  <c r="AQ27" i="5" s="1"/>
  <c r="AY8" i="5"/>
  <c r="AY27" i="5" s="1"/>
  <c r="S8" i="5"/>
  <c r="S27" i="5" s="1"/>
  <c r="BC8" i="5"/>
  <c r="BC27" i="5" s="1"/>
  <c r="AM8" i="5"/>
  <c r="AM27" i="5" s="1"/>
  <c r="AI8" i="5"/>
  <c r="AI27" i="5" s="1"/>
  <c r="BO8" i="5"/>
  <c r="BO27" i="5" s="1"/>
  <c r="AE8" i="5"/>
  <c r="AE27" i="5" s="1"/>
  <c r="BG8" i="5"/>
  <c r="BG27" i="5" s="1"/>
  <c r="G8" i="5"/>
  <c r="G27" i="5" s="1"/>
  <c r="W8" i="5"/>
  <c r="W27" i="5" s="1"/>
  <c r="BK8" i="5"/>
  <c r="BK27" i="5" s="1"/>
  <c r="AA8" i="5"/>
  <c r="AA27" i="5" s="1"/>
  <c r="C45" i="5" l="1"/>
  <c r="K695" i="4"/>
  <c r="J698" i="4"/>
  <c r="AM30" i="5"/>
  <c r="S30" i="5"/>
  <c r="AQ30" i="5"/>
  <c r="O30" i="5"/>
  <c r="AF27" i="5"/>
  <c r="AE30" i="5"/>
  <c r="AZ27" i="5"/>
  <c r="AR27" i="5"/>
  <c r="AB27" i="5"/>
  <c r="AA30" i="5"/>
  <c r="BL27" i="5"/>
  <c r="L27" i="5"/>
  <c r="BH27" i="5"/>
  <c r="X27" i="5"/>
  <c r="W30" i="5"/>
  <c r="AV27" i="5"/>
  <c r="AJ27" i="5"/>
  <c r="AI30" i="5"/>
  <c r="AN27" i="5"/>
  <c r="T27" i="5"/>
  <c r="BD27" i="5"/>
  <c r="BP27" i="5"/>
  <c r="G30" i="5"/>
  <c r="H27" i="5"/>
  <c r="P27" i="5"/>
  <c r="K116" i="4"/>
  <c r="K614" i="4"/>
  <c r="AC8" i="5" l="1"/>
  <c r="AC28" i="5" s="1"/>
  <c r="AC31" i="5" s="1"/>
  <c r="D25" i="5"/>
  <c r="D31" i="5" s="1"/>
  <c r="E31" i="5" s="1"/>
  <c r="K701" i="4"/>
  <c r="J719" i="4"/>
  <c r="G45" i="5"/>
  <c r="G49" i="5" s="1"/>
  <c r="AY45" i="5"/>
  <c r="AY49" i="5" s="1"/>
  <c r="BK45" i="5"/>
  <c r="BK49" i="5" s="1"/>
  <c r="C47" i="5"/>
  <c r="C52" i="5" s="1"/>
  <c r="E53" i="5" s="1"/>
  <c r="AM45" i="5"/>
  <c r="AM49" i="5" s="1"/>
  <c r="BC45" i="5"/>
  <c r="BC49" i="5" s="1"/>
  <c r="W45" i="5"/>
  <c r="W49" i="5" s="1"/>
  <c r="K45" i="5"/>
  <c r="K49" i="5" s="1"/>
  <c r="AA45" i="5"/>
  <c r="AA49" i="5" s="1"/>
  <c r="BO45" i="5"/>
  <c r="BO49" i="5" s="1"/>
  <c r="S45" i="5"/>
  <c r="S49" i="5" s="1"/>
  <c r="AQ45" i="5"/>
  <c r="AQ49" i="5" s="1"/>
  <c r="AI45" i="5"/>
  <c r="AI49" i="5" s="1"/>
  <c r="BG45" i="5"/>
  <c r="BG49" i="5" s="1"/>
  <c r="O45" i="5"/>
  <c r="O49" i="5" s="1"/>
  <c r="AE45" i="5"/>
  <c r="AE49" i="5" s="1"/>
  <c r="AU45" i="5"/>
  <c r="AU49" i="5" s="1"/>
  <c r="E45" i="5"/>
  <c r="E47" i="5" s="1"/>
  <c r="BA8" i="5"/>
  <c r="BA28" i="5" s="1"/>
  <c r="K633" i="4"/>
  <c r="K728" i="4" s="1"/>
  <c r="BM8" i="5"/>
  <c r="BM28" i="5" s="1"/>
  <c r="I8" i="5"/>
  <c r="I28" i="5" s="1"/>
  <c r="AS8" i="5"/>
  <c r="AS28" i="5" s="1"/>
  <c r="AK8" i="5"/>
  <c r="AK28" i="5" s="1"/>
  <c r="Y8" i="5"/>
  <c r="Y28" i="5" s="1"/>
  <c r="AW8" i="5"/>
  <c r="AW28" i="5" s="1"/>
  <c r="U8" i="5"/>
  <c r="U28" i="5" s="1"/>
  <c r="AO8" i="5"/>
  <c r="AO28" i="5" s="1"/>
  <c r="Q8" i="5"/>
  <c r="Q28" i="5" s="1"/>
  <c r="E8" i="5"/>
  <c r="E25" i="5" s="1"/>
  <c r="BE8" i="5"/>
  <c r="BE28" i="5" s="1"/>
  <c r="BI8" i="5"/>
  <c r="BI28" i="5" s="1"/>
  <c r="AG8" i="5"/>
  <c r="AG28" i="5" s="1"/>
  <c r="M8" i="5"/>
  <c r="M28" i="5" s="1"/>
  <c r="BQ8" i="5"/>
  <c r="BQ28" i="5" s="1"/>
  <c r="BH49" i="5" l="1"/>
  <c r="BD49" i="5"/>
  <c r="E57" i="5"/>
  <c r="AI52" i="5"/>
  <c r="AJ49" i="5"/>
  <c r="AZ49" i="5"/>
  <c r="AR49" i="5"/>
  <c r="AQ52" i="5"/>
  <c r="T49" i="5"/>
  <c r="S52" i="5"/>
  <c r="AV49" i="5"/>
  <c r="AB49" i="5"/>
  <c r="AA52" i="5"/>
  <c r="AC56" i="5" s="1"/>
  <c r="H49" i="5"/>
  <c r="G52" i="5"/>
  <c r="BL49" i="5"/>
  <c r="AE52" i="5"/>
  <c r="AF49" i="5"/>
  <c r="L49" i="5"/>
  <c r="K52" i="5"/>
  <c r="J727" i="4"/>
  <c r="K730" i="4" s="1"/>
  <c r="AM52" i="5"/>
  <c r="AN49" i="5"/>
  <c r="BP49" i="5"/>
  <c r="O52" i="5"/>
  <c r="P49" i="5"/>
  <c r="W52" i="5"/>
  <c r="X49" i="5"/>
  <c r="BE56" i="5"/>
  <c r="BF28" i="5"/>
  <c r="AT28" i="5"/>
  <c r="AS31" i="5"/>
  <c r="I31" i="5"/>
  <c r="J28" i="5"/>
  <c r="AL28" i="5"/>
  <c r="AK31" i="5"/>
  <c r="BN28" i="5"/>
  <c r="BM56" i="5"/>
  <c r="R28" i="5"/>
  <c r="Q31" i="5"/>
  <c r="K635" i="4"/>
  <c r="U31" i="5"/>
  <c r="V28" i="5"/>
  <c r="BA56" i="5"/>
  <c r="BB28" i="5"/>
  <c r="BJ28" i="5"/>
  <c r="BI56" i="5"/>
  <c r="BQ56" i="5"/>
  <c r="BR28" i="5"/>
  <c r="AW56" i="5"/>
  <c r="AX28" i="5"/>
  <c r="AP28" i="5"/>
  <c r="AO31" i="5"/>
  <c r="M31" i="5"/>
  <c r="N28" i="5"/>
  <c r="AG31" i="5"/>
  <c r="AH28" i="5"/>
  <c r="Z28" i="5"/>
  <c r="Y31" i="5"/>
  <c r="AD28" i="5"/>
  <c r="Y56" i="5" l="1"/>
  <c r="Z56" i="5" s="1"/>
  <c r="F45" i="5"/>
  <c r="F23" i="5"/>
  <c r="AK56" i="5"/>
  <c r="AL56" i="5" s="1"/>
  <c r="AD56" i="5"/>
  <c r="AO56" i="5"/>
  <c r="AP56" i="5" s="1"/>
  <c r="Q56" i="5"/>
  <c r="R56" i="5" s="1"/>
  <c r="U56" i="5"/>
  <c r="V56" i="5" s="1"/>
  <c r="AG56" i="5"/>
  <c r="AH56" i="5" s="1"/>
  <c r="I56" i="5"/>
  <c r="J56" i="5" s="1"/>
  <c r="J57" i="5" s="1"/>
  <c r="M56" i="5"/>
  <c r="N56" i="5" s="1"/>
  <c r="AS56" i="5"/>
  <c r="AT56" i="5" s="1"/>
  <c r="F18" i="5"/>
  <c r="F9" i="5"/>
  <c r="F7" i="5"/>
  <c r="F21" i="5"/>
  <c r="F19" i="5"/>
  <c r="F6" i="5"/>
  <c r="F14" i="5"/>
  <c r="F34" i="5"/>
  <c r="F12" i="5"/>
  <c r="F11" i="5"/>
  <c r="F10" i="5"/>
  <c r="F16" i="5"/>
  <c r="F22" i="5"/>
  <c r="F17" i="5"/>
  <c r="F20" i="5"/>
  <c r="F15" i="5"/>
  <c r="F13" i="5"/>
  <c r="BR56" i="5"/>
  <c r="BJ56" i="5"/>
  <c r="F8" i="5"/>
  <c r="AW57" i="5"/>
  <c r="BA57" i="5" s="1"/>
  <c r="BE57" i="5" s="1"/>
  <c r="BI57" i="5" s="1"/>
  <c r="BM57" i="5" s="1"/>
  <c r="BQ57" i="5" s="1"/>
  <c r="AX56" i="5"/>
  <c r="AX57" i="5" s="1"/>
  <c r="BN56" i="5"/>
  <c r="BB56" i="5"/>
  <c r="BF56" i="5"/>
  <c r="I57" i="5" l="1"/>
  <c r="M57" i="5" s="1"/>
  <c r="Q57" i="5" s="1"/>
  <c r="U57" i="5" s="1"/>
  <c r="Y57" i="5" s="1"/>
  <c r="AC57" i="5" s="1"/>
  <c r="AG57" i="5" s="1"/>
  <c r="AK57" i="5" s="1"/>
  <c r="AO57" i="5" s="1"/>
  <c r="AS57" i="5" s="1"/>
  <c r="BB57" i="5"/>
  <c r="BF57" i="5" s="1"/>
  <c r="BJ57" i="5" s="1"/>
  <c r="BN57" i="5" s="1"/>
  <c r="BR57" i="5" s="1"/>
  <c r="F25" i="5"/>
  <c r="F36" i="5" s="1"/>
  <c r="F47" i="5" s="1"/>
  <c r="N57" i="5"/>
  <c r="R57" i="5" s="1"/>
  <c r="V57" i="5" s="1"/>
  <c r="Z57" i="5" s="1"/>
  <c r="AD57" i="5" s="1"/>
  <c r="AH57" i="5" s="1"/>
  <c r="AL57" i="5" s="1"/>
  <c r="AP57" i="5" s="1"/>
  <c r="AT57" i="5" s="1"/>
  <c r="N611" i="4"/>
</calcChain>
</file>

<file path=xl/comments1.xml><?xml version="1.0" encoding="utf-8"?>
<comments xmlns="http://schemas.openxmlformats.org/spreadsheetml/2006/main">
  <authors>
    <author>Marcos Bitencourt</author>
  </authors>
  <commentList>
    <comment ref="D13" authorId="0" shapeId="0">
      <text>
        <r>
          <rPr>
            <b/>
            <sz val="9"/>
            <color indexed="81"/>
            <rFont val="Segoe UI"/>
            <family val="2"/>
          </rPr>
          <t>Marcos Bitencourt:</t>
        </r>
        <r>
          <rPr>
            <sz val="9"/>
            <color indexed="81"/>
            <rFont val="Segoe UI"/>
            <family val="2"/>
          </rPr>
          <t xml:space="preserve">
LC 007/97 - ART. 354
Habite-se: R$ 2,15/m²
Construção: R$ 2,15/m²</t>
        </r>
      </text>
    </comment>
    <comment ref="F46" authorId="0" shapeId="0">
      <text>
        <r>
          <rPr>
            <b/>
            <sz val="9"/>
            <color indexed="81"/>
            <rFont val="Segoe UI"/>
            <family val="2"/>
          </rPr>
          <t>Marcos Bitencourt:</t>
        </r>
        <r>
          <rPr>
            <sz val="9"/>
            <color indexed="81"/>
            <rFont val="Segoe UI"/>
            <family val="2"/>
          </rPr>
          <t xml:space="preserve">
Todo térreo e parte do superior</t>
        </r>
      </text>
    </comment>
  </commentList>
</comments>
</file>

<file path=xl/sharedStrings.xml><?xml version="1.0" encoding="utf-8"?>
<sst xmlns="http://schemas.openxmlformats.org/spreadsheetml/2006/main" count="2099" uniqueCount="1230">
  <si>
    <t>Obra</t>
  </si>
  <si>
    <t>Encargos Sociais</t>
  </si>
  <si>
    <t>Planilha Orçamentária Sintética Com Valor do Material e da Mão de Obra</t>
  </si>
  <si>
    <t>Item</t>
  </si>
  <si>
    <t>Código</t>
  </si>
  <si>
    <t>Banco</t>
  </si>
  <si>
    <t>Descrição</t>
  </si>
  <si>
    <t>Und</t>
  </si>
  <si>
    <t>Quant.</t>
  </si>
  <si>
    <t>Total</t>
  </si>
  <si>
    <t>M. O.</t>
  </si>
  <si>
    <t>MAT.</t>
  </si>
  <si>
    <t>SERVIÇOS INICIAIS E ADMINISTRAÇÃO</t>
  </si>
  <si>
    <t xml:space="preserve"> 1.1 </t>
  </si>
  <si>
    <t>DESPESAS INICIAIS</t>
  </si>
  <si>
    <t xml:space="preserve"> 1.1.1 </t>
  </si>
  <si>
    <t>IMPOSTOS E SEGUROS(RISCOS DE ENGENHARIA/RESPONSABILIDADE CIVIL</t>
  </si>
  <si>
    <t>m²</t>
  </si>
  <si>
    <t xml:space="preserve"> 1.2 </t>
  </si>
  <si>
    <t>SERVIÇOS INICIAIS</t>
  </si>
  <si>
    <t xml:space="preserve"> 1.2.1 </t>
  </si>
  <si>
    <t>FORNECIMENTO E INSTALAÇÃO DE PLACA DE OBRA COM CHAPA GALVANIZADA E ESTRUTURA DE MADEIRA. AF_03/2022_PS</t>
  </si>
  <si>
    <t>Próprio</t>
  </si>
  <si>
    <t>EXECUÇÃO DE SANITÁRIO E VESTIÁRIO EM CANTEIRO DE OBRAS, FORA DA PROJEÇÃO DA LAJE, EM CHAPA DE MADEIRA COMPENSADA, NÃO INCLUSO MOBILIÁRIO.</t>
  </si>
  <si>
    <t>EXECUÇÃO DE REFEITÓRIO EM CANTEIRO DE OBRAS, FORA DA PROJEÇÃO DA LAJE, EM CHAPA DE MADEIRA COMPENSADA, NÃO INCLUSO MOBILIÁRIO E EQUIPAMENTOS. AF_01/2024_PE</t>
  </si>
  <si>
    <t>EXECUÇÃO DE ESCRITÓRIO EM CANTEIRO DE OBRAS, FORA DA PROJEÇÃO DA LAJE, EM CHAPA DE MADEIRA COMPENSADA, NÃO INCLUSO MOBILIÁRIO E EQUIPAMENTOS.</t>
  </si>
  <si>
    <t>EXECUÇÃO DE ALMOXARIFADO EM CANTEIRO DE OBRAS, FORA DA PROJEÇÃO DA LAJE, EM CHAPA DE MADEIRA COMPENSADA, NÃO INCLUSO MOBILIÁRIO E EQUIPAMENTOS.</t>
  </si>
  <si>
    <t xml:space="preserve"> 1.3 </t>
  </si>
  <si>
    <t>ADMINISTRAÇÃO LOCAL</t>
  </si>
  <si>
    <t xml:space="preserve"> 1.3.1 </t>
  </si>
  <si>
    <t>ANOTAÇÃO DE RESPONSABILIDADE TÉCNICA - ART</t>
  </si>
  <si>
    <t>UN</t>
  </si>
  <si>
    <t>H</t>
  </si>
  <si>
    <t>MESTRE DE OBRAS COM ENCARGOS COMPLEMENTARES</t>
  </si>
  <si>
    <t xml:space="preserve"> 1.4 </t>
  </si>
  <si>
    <t>PROJETO "AS BUILT"</t>
  </si>
  <si>
    <t xml:space="preserve"> 1.4.1 </t>
  </si>
  <si>
    <t>Projeto As Built - Arquitetônico</t>
  </si>
  <si>
    <t xml:space="preserve"> 1.4.2 </t>
  </si>
  <si>
    <t>Projeto As Built - Hidrossanitário</t>
  </si>
  <si>
    <t xml:space="preserve"> 1.4.3 </t>
  </si>
  <si>
    <t>Projeto As Built - Elétrico</t>
  </si>
  <si>
    <t xml:space="preserve"> 1.4.4 </t>
  </si>
  <si>
    <t>Projeto As Built - Preventivo</t>
  </si>
  <si>
    <t xml:space="preserve"> 1.4.5 </t>
  </si>
  <si>
    <t>Projeto As Built - Climatização</t>
  </si>
  <si>
    <t xml:space="preserve"> 1.5 </t>
  </si>
  <si>
    <t>DESPESAS CORRENTES</t>
  </si>
  <si>
    <t xml:space="preserve"> 1.5.1 </t>
  </si>
  <si>
    <t>Limpeza Permanente da Obra</t>
  </si>
  <si>
    <t xml:space="preserve"> 2.1 </t>
  </si>
  <si>
    <t>DEMOLIÇÕES</t>
  </si>
  <si>
    <t xml:space="preserve"> 2.1.1 </t>
  </si>
  <si>
    <t>REMOÇÃO DE TELHAS DE FIBROCIMENTO METÁLICA E CERÂMICA, DE FORMA MANUAL, SEM REAPROVEITAMENTO. AF_09/2023</t>
  </si>
  <si>
    <t>REMOÇÃO DE TRAMA DE MADEIRA PARA COBERTURA, DE FORMA MANUAL, SEM REAPROVEITAMENTO. AF_09/2023</t>
  </si>
  <si>
    <t>REMOÇÃO DE FORROS DE DRYWALL, PVC E FIBROMINERAL, DE FORMA MANUAL, SEM REAPROVEITAMENTO. AF_09/2023</t>
  </si>
  <si>
    <t>REMOÇÃO DE TRAMA METÁLICA OU DE MADEIRA PARA FORRO, DE FORMA MANUAL, SEM REAPROVEITAMENTO. AF_09/2023</t>
  </si>
  <si>
    <t>DEMOLIÇÃO DE ALVENARIA DE BLOCO FURADO, DE FORMA MANUAL, SEM REAPROVEITAMENTO. AF_09/2023</t>
  </si>
  <si>
    <t>m³</t>
  </si>
  <si>
    <t>REMOÇÃO DE CHAPAS E PERFIS DE DRYWALL, DE FORMA MANUAL, SEM REAPROVEITAMENTO. AF_09/2023</t>
  </si>
  <si>
    <t>M</t>
  </si>
  <si>
    <t>DEMOLIÇÃO DE REVESTIMENTO CERÂMICO, DE FORMA MANUAL, SEM REAPROVEITAMENTO. AF_09/2023</t>
  </si>
  <si>
    <t>DEMOLIÇÃO DE ARGAMASSAS, DE FORMA MANUAL, SEM REAPROVEITAMENTO. AF_09/2023</t>
  </si>
  <si>
    <t>DEMOLIÇÃO DE LAJES, EM CONCRETO ARMADO, DE FORMA MECANIZADA COM MARTELETE, SEM REAPROVEITAMENTO. AF_09/2023</t>
  </si>
  <si>
    <t>DEMOLIÇÃO DE ARGAMASSAS, DE FORMA DE FORMA MECANIZADA COM MARTELETE, SEM REAPROVEITAMENTO. AF_09/2023</t>
  </si>
  <si>
    <t>REMOÇÃO DE JANELAS, DE FORMA MANUAL, SEM REAPROVEITAMENTO. AF_09/2023</t>
  </si>
  <si>
    <t>REMOÇÃO DE PORTAS, DE FORMA MANUAL, SEM REAPROVEITAMENTO. AF_09/2023</t>
  </si>
  <si>
    <t>CARGA, MANOBRA E DESCARGA DE SOLOS E MATERIAIS GRANULARES EM CAMINHÃO BASCULANTE 10 M³ - CARGA COM ESCAVADEIRA HIDRÁULICA (CAÇAMBA DE 1,20 M³ / 155 HP) E DESCARGA LIVRE (UNIDADE: M3). AF_07/2020</t>
  </si>
  <si>
    <t>TRANSPORTE COM CAMINHÃO BASCULANTE DE 10 M³, EM VIA URBANA PAVIMENTADA, DMT ATÉ 30 KM (UNIDADE: M3XKM). AF_07/2020</t>
  </si>
  <si>
    <t>M3XKM</t>
  </si>
  <si>
    <t xml:space="preserve"> 3.1 </t>
  </si>
  <si>
    <t>COMPACTAÇÃO MECÂNICA DE SOLO PARA EXECUÇÃO DE RADIER, PISO DE CONCRETO OU LAJE SOBRE SOLO, COM COMPACTADOR DE SOLOS A PERCUSSÃO. AF_09/2021</t>
  </si>
  <si>
    <t>REATERRO MANUAL DE VALAS, COM COMPACTADOR DE SOLOS DE PERCUSSÃO. AF_08/2023</t>
  </si>
  <si>
    <t>KG</t>
  </si>
  <si>
    <t>PAREDES, PAINEIS E ELEMENTOS DIVISÓRIOS</t>
  </si>
  <si>
    <t xml:space="preserve"> 4.1 </t>
  </si>
  <si>
    <t xml:space="preserve"> 4.2 </t>
  </si>
  <si>
    <t>ALVENARIA DE VEDAÇÃO DE BLOCOS CERÂMICOS FURADOS NA VERTICAL DE 14X19X39 CM (ESPESSURA 14 CM) E ARGAMASSA DE ASSENTAMENTO COM PREPARO EM BETONEIRA. AF_12/2021</t>
  </si>
  <si>
    <t>DIVISORIA SANITÁRIA, TIPO CABINE, EM GRANITO CINZA POLIDO, ESP = 3CM, ASSENTADO COM ARGAMASSA COLANTE AC III-E, EXCLUSIVE FERRAGENS. AF_01/2021</t>
  </si>
  <si>
    <t>VERGA MOLDADA IN LOCO EM CONCRETO, ESPESSURA DE *15* CM. AF_03/2024</t>
  </si>
  <si>
    <t>COBERTURAS E PROTEÇÕES</t>
  </si>
  <si>
    <t xml:space="preserve"> 5.1 </t>
  </si>
  <si>
    <t>TELHAMENTO</t>
  </si>
  <si>
    <t xml:space="preserve"> 5.1.1 </t>
  </si>
  <si>
    <t>TELHAMENTO COM TELHA METÁLICA TERMOACÚSTICA E = 30 MM, COM ATÉ 2 ÁGUAS, INCLUSO IÇAMENTO. AF_07/2019</t>
  </si>
  <si>
    <t xml:space="preserve"> 5.1.2 </t>
  </si>
  <si>
    <t>CALHAS, RUFOS E PINGADEIRAS</t>
  </si>
  <si>
    <t xml:space="preserve"> 5.2.1 </t>
  </si>
  <si>
    <t>RUFO EXTERNO/INTERNO EM CHAPA DE ALUMINIO 0,8MM, DESENVOLVIMENTO DE 35 CM, INCLUSO IÇAMENTO</t>
  </si>
  <si>
    <t>m</t>
  </si>
  <si>
    <t>IMPERMEABILIZAÇÕES</t>
  </si>
  <si>
    <t>IMPERMEABILIZAÇÃO DE SUPERFÍCIE COM ARGAMASSA POLIMÉRICA / MEMBRANA ACRÍLICA, 3 DEMÃOS. AF_09/2023</t>
  </si>
  <si>
    <t>REVESTIMENTOS DE PAREDES</t>
  </si>
  <si>
    <t xml:space="preserve"> 7.1 </t>
  </si>
  <si>
    <t>REVESTIMENTOS PRIMÁRIOS</t>
  </si>
  <si>
    <t xml:space="preserve"> 7.1.1 </t>
  </si>
  <si>
    <t>CHAPISCO APLICADO EM ALVENARIAS E ESTRUTURAS DE CONCRETO INTERNAS, COM COLHER DE PEDREIRO.  ARGAMASSA TRAÇO 1:3 COM PREPARO EM BETONEIRA 400L. AF_10/2022</t>
  </si>
  <si>
    <t>CHAPISCO APLICADO EM ALVENARIA (COM PRESENÇA DE VÃOS) E ESTRUTURAS DE CONCRETO DE FACHADA, COM COLHER DE PEDREIRO.  ARGAMASSA TRAÇO 1:3 COM PREPARO EM BETONEIRA 400L. AF_10/2022</t>
  </si>
  <si>
    <t>MASSA ÚNICA, EM ARGAMASSA TRAÇO 1:2:8, PREPARO MECÂNICO, APLICADA MANUALMENTE EM PAREDES INTERNAS DE AMBIENTES COM ÁREA MAIOR QUE 10M², E = 17,5MM, COM TALISCAS. AF_03/2024</t>
  </si>
  <si>
    <t>EMBOÇO, EM ARGAMASSA TRAÇO 1:2:8, PREPARO MECÂNICO, APLICADO MANUALMENTE EM PAREDES INTERNAS DE AMBIENTES COM ÁREA MAIOR QUE 10M², E = 17,5MM, COM TALISCAS. AF_03/2024</t>
  </si>
  <si>
    <t>RASPAGEM E LIMPEZA DE PAREDES OU FORROS PARA RECEBIMENTO DE PINTURA</t>
  </si>
  <si>
    <t xml:space="preserve"> 7.2 </t>
  </si>
  <si>
    <t>ACABAMENTOS</t>
  </si>
  <si>
    <t xml:space="preserve"> 7.2.1 </t>
  </si>
  <si>
    <t>FUNDO SELADOR ACRÍLICO, APLICAÇÃO MANUAL EM PAREDE, UMA DEMÃO. AF_04/2023</t>
  </si>
  <si>
    <t>PINTURA LÁTEX ACRÍLICA PREMIUM, APLICAÇÃO MANUAL EM PAREDES, DUAS DEMÃOS. AF_04/2023 (REF. CORAL CINZA DE GRIFE)</t>
  </si>
  <si>
    <t>PINTURA LÁTEX ACRÍLICA PREMIUM, APLICAÇÃO MANUAL EM PAREDES, DUAS DEMÃOS. AF_04/2023 (REF.: CORAL GOLFINHO DE NORONHA)</t>
  </si>
  <si>
    <t>TETOS E FORROS</t>
  </si>
  <si>
    <t xml:space="preserve"> 8.1 </t>
  </si>
  <si>
    <t xml:space="preserve"> 8.1.1 </t>
  </si>
  <si>
    <t>FORROS</t>
  </si>
  <si>
    <t xml:space="preserve"> 8.2.1 </t>
  </si>
  <si>
    <t>PISOS</t>
  </si>
  <si>
    <t xml:space="preserve"> 9.1 </t>
  </si>
  <si>
    <t>PAVIMENTAÇÕES</t>
  </si>
  <si>
    <t xml:space="preserve"> 9.1.1 </t>
  </si>
  <si>
    <t>CONTRAPISO EM ARGAMASSA TRAÇO 1:4 (CIMENTO E AREIA), PREPARO MECÂNICO COM BETONEIRA 400 L, APLICADO EM ÁREAS SECAS SOBRE LAJE, ADERIDO, ACABAMENTO NÃO REFORÇADO, ESPESSURA 4CM. AF_07/2021</t>
  </si>
  <si>
    <t xml:space="preserve"> 9.2 </t>
  </si>
  <si>
    <t>REVESTIMENTO TIPO PORCELANATO RETIFICADO DE DIMENSÕES 60X60 CM COM REJUNTAMENTO EM EPÓXI - FORNECIMENTO E INSTALAÇÃO - REF. BRASILIA CONCRETO CINZA NATURAL - PORTOBELLO</t>
  </si>
  <si>
    <t>REVESTIMENTO TIPO PORCELANATO RETIFICADO DE DIMENSÕES 60X60 CM COM REJUNTAMENTO EM EPÓXI - FORNECIMENTO E INSTALAÇÃO - REF. VIA DURINI OFF WHITE NATURAL - PORTOBELLO</t>
  </si>
  <si>
    <t>SOLEIRA DE GRANITO, NA COR BRANCO ITAÚNAS, ESP. 2CM, ACABAMENTO POLIDO, ASSENTAMENTO COM ARGAMASSA INDUSTRIALIZADA, INCLUSIVE REJUNTAMENTO</t>
  </si>
  <si>
    <t>ESQUADRIAS E FERRAGENS</t>
  </si>
  <si>
    <t xml:space="preserve"> 10.1 </t>
  </si>
  <si>
    <t>PORTAS</t>
  </si>
  <si>
    <t xml:space="preserve"> 10.1.1 </t>
  </si>
  <si>
    <t xml:space="preserve"> 10.1.1.1 </t>
  </si>
  <si>
    <t>KIT DE PORTA DE MADEIRA PARA PINTURA, SEMI-OCA (LEVE OU MÉDIA), PADRÃO MÉDIO, 80X210CM, ESPESSURA DE 3,5CM, ITENS INCLUSOS: DOBRADIÇAS, MONTAGEM E INSTALAÇÃO DO BATENTE, FECHADURA COM EXECUÇÃO DO FURO - FORNECIMENTO E INSTALAÇÃO. AF_12/2019</t>
  </si>
  <si>
    <t>PORTA EM ALUMÍNIO DE ABRIR TIPO VENEZIANA COM GUARNIÇÃO, FIXAÇÃO COM PARAFUSOS - FORNECIMENTO E INSTALAÇÃO. AF_12/2019</t>
  </si>
  <si>
    <t>PINTURA FUNDO NIVELADOR ALQUÍDICO BRANCO EM MADEIRA. AF_01/2021</t>
  </si>
  <si>
    <t>PINTURA TINTA DE ACABAMENTO (PIGMENTADA) ESMALTE SINTÉTICO ACETINADO EM MADEIRA, 2 DEMÃOS. AF_01/2021</t>
  </si>
  <si>
    <t>PINTURA COM TINTA ALQUÍDICA DE FUNDO (TIPO ZARCÃO) PULVERIZADA SOBRE SUPERFÍCIES METÁLICAS (EXCETO PERFIL) EXECUTADO EM OBRA (POR DEMÃO). AF_01/2020_PE</t>
  </si>
  <si>
    <t>PINTURA COM TINTA ACRÍLICA DE ACABAMENTO PULVERIZADA SOBRE SUPERFÍCIES METÁLICAS (EXCETO PERFIL) EXECUTADO EM OBRA (02 DEMÃOS). AF_01/2020_PE</t>
  </si>
  <si>
    <t xml:space="preserve"> 10.1.2 </t>
  </si>
  <si>
    <t>FERRAGENS</t>
  </si>
  <si>
    <t xml:space="preserve"> 10.1.2.1 </t>
  </si>
  <si>
    <t>TARJETA TIPO LIVRE/OCUPADO PARA PORTA DE BANHEIRO. AF_12/2019</t>
  </si>
  <si>
    <t xml:space="preserve"> 10.2 </t>
  </si>
  <si>
    <t>JANELAS</t>
  </si>
  <si>
    <t xml:space="preserve"> 10.2.1 </t>
  </si>
  <si>
    <t>INSTALAÇÕES HIDROSSANITÁRIAS</t>
  </si>
  <si>
    <t xml:space="preserve"> 11.1 </t>
  </si>
  <si>
    <t>ÁGUA FRIA</t>
  </si>
  <si>
    <t xml:space="preserve"> 11.1.1 </t>
  </si>
  <si>
    <t>TUBO, PVC, SOLDÁVEL, DE 25MM, INSTALADO EM RAMAL OU SUB-RAMAL DE ÁGUA - FORNECIMENTO E INSTALAÇÃO. AF_06/2022</t>
  </si>
  <si>
    <t>TUBO, PVC, SOLDÁVEL, DE 32MM, INSTALADO EM RAMAL OU SUB-RAMAL DE ÁGUA - FORNECIMENTO E INSTALAÇÃO. AF_06/2022</t>
  </si>
  <si>
    <t>TE, PVC, SOLDÁVEL, DN 25MM, INSTALADO EM RAMAL OU SUB-RAMAL DE ÁGUA - FORNECIMENTO E INSTALAÇÃO. AF_06/2022</t>
  </si>
  <si>
    <t>TE, PVC, SOLDÁVEL, DN 32MM, INSTALADO EM RAMAL OU SUB-RAMAL DE ÁGUA - FORNECIMENTO E INSTALAÇÃO. AF_06/2022</t>
  </si>
  <si>
    <t>JOELHO 90 GRAUS, PVC, SOLDÁVEL, DN 25MM, INSTALADO EM RAMAL OU SUB-RAMAL DE ÁGUA - FORNECIMENTO E INSTALAÇÃO. AF_06/2022</t>
  </si>
  <si>
    <t>JOELHO DE REDUÇÃO, 90 GRAUS, PVC, SOLDÁVEL, DN 32 MM X 25 MM, INSTALADO EM RAMAL OU SUB-RAMAL DE ÁGUA - FORNECIMENTO E INSTALAÇÃO. AF_06/2022</t>
  </si>
  <si>
    <t>CURVA 45 GRAUS, PVC, SOLDÁVEL, DN 25MM, INSTALADO EM RAMAL OU SUB-RAMAL DE ÁGUA - FORNECIMENTO E INSTALAÇÃO. AF_06/2022</t>
  </si>
  <si>
    <t>REGISTRO DE PRESSÃO BRUTO, LATÃO, ROSCÁVEL, 3/4", COM ACABAMENTO E CANOPLA CROMADOS - FORNECIMENTO E INSTALAÇÃO. AF_08/2021</t>
  </si>
  <si>
    <t xml:space="preserve"> 11.2 </t>
  </si>
  <si>
    <t>CURVA CURTA 90 GRAUS, PVC, SERIE NORMAL, ESGOTO PREDIAL, DN 40 MM, JUNTA SOLDÁVEL, FORNECIDO E INSTALADO EM RAMAL DE DESCARGA OU RAMAL DE ESGOTO SANITÁRIO. AF_08/2022</t>
  </si>
  <si>
    <t>JOELHO 45 GRAUS, PVC, SERIE NORMAL, ESGOTO PREDIAL, DN 40 MM, JUNTA SOLDÁVEL, FORNECIDO E INSTALADO EM RAMAL DE DESCARGA OU RAMAL DE ESGOTO SANITÁRIO. AF_08/2022</t>
  </si>
  <si>
    <t>JOELHO 45 GRAUS, PVC, SERIE NORMAL, ESGOTO PREDIAL, DN 50 MM, JUNTA ELÁSTICA, FORNECIDO E INSTALADO EM RAMAL DE DESCARGA OU RAMAL DE ESGOTO SANITÁRIO. AF_08/2022</t>
  </si>
  <si>
    <t>JOELHO 45 GRAUS, PVC, SERIE NORMAL, ESGOTO PREDIAL, DN 75 MM, JUNTA ELÁSTICA, FORNECIDO E INSTALADO EM RAMAL DE DESCARGA OU RAMAL DE ESGOTO SANITÁRIO. AF_08/2022</t>
  </si>
  <si>
    <t>JOELHO 45 GRAUS, PVC, SERIE NORMAL, ESGOTO PREDIAL, DN 100 MM, JUNTA ELÁSTICA, FORNECIDO E INSTALADO EM RAMAL DE DESCARGA OU RAMAL DE ESGOTO SANITÁRIO. AF_08/2022</t>
  </si>
  <si>
    <t>JOELHO 90 GRAUS, PVC, SERIE NORMAL, ESGOTO PREDIAL, DN 50 MM, JUNTA ELÁSTICA, FORNECIDO E INSTALADO EM RAMAL DE DESCARGA OU RAMAL DE ESGOTO SANITÁRIO. AF_08/2022</t>
  </si>
  <si>
    <t>JOELHO 90 GRAUS, PVC, SERIE NORMAL, C/ ANEL P/ ESGOTO SECUNDÁRIO, DN 40 MM - 1.1/2", JUNTA SOLDÁVEL, FORNECIDO E INSTALADO EM RAMAL DE DESCARGA OU RAMAL DE ESGOTO SANITÁRIO. AF_08/2022</t>
  </si>
  <si>
    <t>JUNÇÃO SIMPLES, PVC, SERIE NORMAL, ESGOTO PREDIAL, DN 100 X 100 MM, JUNTA ELÁSTICA, FORNECIDO E INSTALADO EM RAMAL DE DESCARGA OU RAMAL DE ESGOTO SANITÁRIO. AF_08/2022</t>
  </si>
  <si>
    <t>JUNÇÃO DE REDUÇÃO INVERTIDA, PVC, SÉRIE NORMAL, ESGOTO PREDIAL, DN 100 X 50 MM, JUNTA ELÁSTICA, FORNECIDO E INSTALADO EM RAMAL DE DESCARGA OU RAMAL DE ESGOTO SANITÁRIO. AF_08/2022</t>
  </si>
  <si>
    <t>REDUÇÃO EXCÊNTRICA, PVC, SERIE R, ÁGUA PLUVIAL, DN 75 X 50 MM, JUNTA ELÁSTICA, FORNECIDO E INSTALADO EM RAMAL DE ENCAMINHAMENTO. AF_06/2022</t>
  </si>
  <si>
    <t>TE, PVC, SERIE NORMAL, ESGOTO PREDIAL, DN 50 X 50 MM, JUNTA ELÁSTICA, FORNECIDO E INSTALADO EM PRUMADA DE ESGOTO SANITÁRIO OU VENTILAÇÃO. AF_08/2022</t>
  </si>
  <si>
    <t>TUBO PVC, SERIE NORMAL, ESGOTO PREDIAL, DN 40 MM, FORNECIDO E INSTALADO EM RAMAL DE DESCARGA OU RAMAL DE ESGOTO SANITÁRIO. AF_08/2022</t>
  </si>
  <si>
    <t>TUBO PVC, SERIE NORMAL, ESGOTO PREDIAL, DN 50 MM, FORNECIDO E INSTALADO EM RAMAL DE DESCARGA OU RAMAL DE ESGOTO SANITÁRIO. AF_08/2022</t>
  </si>
  <si>
    <t>TUBO PVC, SERIE NORMAL, ESGOTO PREDIAL, DN 75 MM, FORNECIDO E INSTALADO EM RAMAL DE DESCARGA OU RAMAL DE ESGOTO SANITÁRIO. AF_08/2022</t>
  </si>
  <si>
    <t>TUBO PVC, SERIE NORMAL, ESGOTO PREDIAL, DN 100 MM, FORNECIDO E INSTALADO EM RAMAL DE DESCARGA OU RAMAL DE ESGOTO SANITÁRIO. AF_08/2022</t>
  </si>
  <si>
    <t>CAIXA SIFONADA, COM GRELHA REDONDA, PVC, DN 150 X 150 X 50 MM, JUNTA SOLDÁVEL, FORNECIDA E INSTALADA EM RAMAL DE DESCARGA OU EM RAMAL DE ESGOTO SANITÁRIO. AF_08/2022</t>
  </si>
  <si>
    <t>TERMINAL DE VENTILAÇÃO, PVC, SÉRIE NORMAL, ESGOTO PREDIAL, DN 50 MM, JUNTA SOLDÁVEL, FORNECIDO E INSTALADO EM PRUMADA DE ESGOTO SANITÁRIO OU VENTILAÇÃO. AF_08/2022</t>
  </si>
  <si>
    <t>TERMINAL DE VENTILAÇÃO, PVC, SÉRIE NORMAL, ESGOTO PREDIAL, DN 75 MM, JUNTA SOLDÁVEL, FORNECIDO E INSTALADO EM PRUMADA DE ESGOTO SANITÁRIO OU VENTILAÇÃO. AF_08/2022</t>
  </si>
  <si>
    <t>CAIXA ENTERRADA HIDRÁULICA RETANGULAR, EM ALVENARIA COM BLOCOS DE CONCRETO, DIMENSÕES INTERNAS: 0,6X0,6X0,6 M PARA REDE DE ESGOTO. AF_12/2020</t>
  </si>
  <si>
    <t>CAIXA ENTERRADA HIDRÁULICA RETANGULAR, EM ALVENARIA COM BLOCOS DE CONCRETO, DIMENSÕES INTERNAS:0,60x0,60X0,6 M PARA REDE DE DRENAGEM COM GRELHA METÁLICA</t>
  </si>
  <si>
    <t>LOUÇAS E METAIS</t>
  </si>
  <si>
    <t xml:space="preserve"> 12.1 </t>
  </si>
  <si>
    <t>LOUÇAS</t>
  </si>
  <si>
    <t>VASO SANITÁRIO SIFONADO COM CAIXA ACOPLADA LOUÇA BRANCA - FORNECIMENTO E INSTALAÇÃO. AF_01/2020</t>
  </si>
  <si>
    <t>CUBA DE EMBUTIR OVAL EM LOUÇA BRANCA, 35 X 50CM OU EQUIVALENTE - FORNECIMENTO E INSTALAÇÃO. AF_01/2020</t>
  </si>
  <si>
    <t xml:space="preserve"> 12.2 </t>
  </si>
  <si>
    <t>METAIS</t>
  </si>
  <si>
    <t xml:space="preserve"> 12.2.1 </t>
  </si>
  <si>
    <t>TORNEIRA CROMADA DE MESA PARA LAVATORIO TEMPORIZADA PRESSAO BICA BAIXA - FORNECIMENTO E INSTALAÇÃO</t>
  </si>
  <si>
    <t xml:space="preserve"> 12.2.2 </t>
  </si>
  <si>
    <t xml:space="preserve"> 12.3 </t>
  </si>
  <si>
    <t>ACESSÓRIOS</t>
  </si>
  <si>
    <t xml:space="preserve"> 12.3.1 </t>
  </si>
  <si>
    <t>ASSENTO SANITÁRIO CONVENCIONAL - FORNECIMENTO E INSTALACAO. AF_01/2020</t>
  </si>
  <si>
    <t xml:space="preserve"> 12.3.2 </t>
  </si>
  <si>
    <t>PAPELEIRA PARA PAPEL HIGIÊNICO TIPO ROLÃO</t>
  </si>
  <si>
    <t xml:space="preserve"> 12.3.3 </t>
  </si>
  <si>
    <t>TOALHEIRO PLASTICO TIPO DISPENSER PARA PAPEL TOALHA INTERFOLHADO - FORNECIMENTO E INSTALAÇÃO</t>
  </si>
  <si>
    <t xml:space="preserve"> 12.3.4 </t>
  </si>
  <si>
    <t>SABONETEIRA PLASTICA TIPO DISPENSER PARA SABONETE LIQUIDO COM RESERVATORIO 800 A 1500 ML, INCLUSO FIXAÇÃO. AF_01/2020</t>
  </si>
  <si>
    <t>VÁLVULA EM METAL CROMADO 1.1/2" X 1.1/2" PARA TANQUE OU LAVATÓRIO, COM OU SEM LADRÃO - FORNECIMENTO E INSTALAÇÃO. AF_01/2020</t>
  </si>
  <si>
    <t>VÁLVULA EM METAL CROMADO TIPO AMERICANA 3.1/2" X 1.1/2" PARA PIA - FORNECIMENTO E INSTALAÇÃO. AF_01/2020</t>
  </si>
  <si>
    <t>ESPELHO CRISTAL, ESPESSURA 4MM, COM PARAFUSOS DE FIXACAO, SEM MOLDURA</t>
  </si>
  <si>
    <t xml:space="preserve"> 12.4 </t>
  </si>
  <si>
    <t>BANCADAS</t>
  </si>
  <si>
    <t xml:space="preserve"> 12.4.1 </t>
  </si>
  <si>
    <t>BANCADA DE GRANITO CINZA ANDORINHA POLIDO PARA CUBAS EM LOUÇA OU INÓX- FORNECIMENTO E INSTALAÇÃO.</t>
  </si>
  <si>
    <t xml:space="preserve"> 12.4.2 </t>
  </si>
  <si>
    <t>SUPORTE MÃO FRANCESA EM ACO, ABAS IGUAIS 40 CM, CAPACIDADE MINIMA 70 KG, BRANCO - FORNECIMENTO E INSTALAÇÃO. AF_01/2020</t>
  </si>
  <si>
    <t>INSTALAÇÕES ELÉTRICAS</t>
  </si>
  <si>
    <t xml:space="preserve"> 13.1 </t>
  </si>
  <si>
    <t>ELÉTRICA</t>
  </si>
  <si>
    <t xml:space="preserve"> 13.1.1 </t>
  </si>
  <si>
    <t>CABO DE COBRE FLEXÍVEL ISOLADO, 2,5 MM², ANTI-CHAMA 450/750 V, PARA CIRCUITOS TERMINAIS - FORNECIMENTO E INSTALAÇÃO. AF_03/2023</t>
  </si>
  <si>
    <t>CABO DE COBRE FLEXÍVEL ISOLADO, 6 MM², ANTI-CHAMA 450/750 V, PARA CIRCUITOS TERMINAIS - FORNECIMENTO E INSTALAÇÃO. AF_03/2023</t>
  </si>
  <si>
    <t>DISJUNTOR MONOPOLAR TIPO DIN, CORRENTE NOMINAL DE 20A - FORNECIMENTO E INSTALAÇÃO. AF_10/2020</t>
  </si>
  <si>
    <t>DISPOSITIVO DPS CLASSE II, 1 POLO, TENSAO MAXIMA DE 275 V, CORRENTE MAXIMA DE *45* KA (TIPO AC) - FORNECIMENTO E INSTALAÇÃO</t>
  </si>
  <si>
    <t>ELETRODUTO FLEXÍVEL CORRUGADO, PVC, DN 25 MM (3/4"), PARA CIRCUITOS TERMINAIS, INSTALADO EM PAREDE - FORNECIMENTO E INSTALAÇÃO. AF_03/2023</t>
  </si>
  <si>
    <t>CURVA 90 GRAUS PARA ELETRODUTO, PVC, ROSCÁVEL, DN 25 MM (3/4"), PARA CIRCUITOS TERMINAIS, INSTALADA EM LAJE - FORNECIMENTO E INSTALAÇÃO. AF_03/2023</t>
  </si>
  <si>
    <t>CONDULETE EM PVC RÍGIDO, P/ELETRODUTO SOLDÁVEL D=1/2"E  3/4", SEM TAMPA (MODELOS: C,E,B,L,T,X), Tigre ou similar</t>
  </si>
  <si>
    <t>CONDULETE EM PVC RÍGIDO, P/ELETRODUTO SOLDÁVEL D=1", SEM TAMPA (MODELOS: C,E,B,L,T,X), Tigre ou similar</t>
  </si>
  <si>
    <t>CAIXA RETANGULAR 4" X 2" MÉDIA (1,30 M DO PISO), PVC, INSTALADA EM PAREDE - FORNECIMENTO E INSTALAÇÃO. AF_03/2023</t>
  </si>
  <si>
    <t>Fornecimento e instalação de tampa cega p/condulete caixa 4" x 2"</t>
  </si>
  <si>
    <t>CAIXA ENTERRADA ELÉTRICA RETANGULAR, EM CONCRETO PRÉ-MOLDADO, FUNDO COM BRITA, DIMENSÕES INTERNAS: 0,3X0,3X0,3 M. AF_12/2020</t>
  </si>
  <si>
    <t>CAIXA DE PASSAGEM PARA TELEFONE 15X15X10CM (SOBREPOR), FORNECIMENTO E INSTALACAO. AF_11/2019</t>
  </si>
  <si>
    <t>und</t>
  </si>
  <si>
    <t>Tala plana perfurada 50mm para eletrocalha metálica (ref.: mopa ou similar)</t>
  </si>
  <si>
    <t>FIXAÇÃO DE ELETROCALHAS E PERFILADOS COM VERGALHÃO (TIRANTE) COM ROSCA TOTAL Ø 1/4"X1000MM (ORSE)</t>
  </si>
  <si>
    <t>PERFILADO PERFURADO 38 X 38 MM - FORNECIMENTO E INSTALAÇÃO</t>
  </si>
  <si>
    <t>TÊ HORIZONTAL PARA PERFILADO 38 X 38 MM - FORNECIMENTO E INSTALAÇÃO</t>
  </si>
  <si>
    <t>GANCHO CURTO PARA SUSPENSÃO DE PERFILADO 38X38 - FORNECIMENTO E INSTALAÇÃO (ORSE)</t>
  </si>
  <si>
    <t>TALA PLANA PARA PERFILADO 38 X 38 MM (ORSE) - FORNECIMENTO E INSTALAÇÃO</t>
  </si>
  <si>
    <t>INTERRUPTOR SIMPLES (1 MÓDULO), 10A/250V, INCLUINDO SUPORTE E PLACA - FORNECIMENTO E INSTALAÇÃO. AF_03/2023</t>
  </si>
  <si>
    <t>INTERRUPTOR PARALELO (1 MÓDULO), 10A/250V, INCLUINDO SUPORTE E PLACA - FORNECIMENTO E INSTALAÇÃO. AF_03/2023</t>
  </si>
  <si>
    <t>TOMADA MÉDIA DE EMBUTIR (1 MÓDULO), 2P+T 10 A, INCLUINDO SUPORTE E PLACA - FORNECIMENTO E INSTALAÇÃO. AF_03/2023</t>
  </si>
  <si>
    <t>TOMADA MÉDIA DE EMBUTIR (2 MÓDULOS), 2P+T 10 A, INCLUINDO SUPORTE E PLACA - FORNECIMENTO E INSTALAÇÃO. AF_03/2023</t>
  </si>
  <si>
    <t>TOMADA MÉDIA DE EMBUTIR (1 MÓDULO), 2P+T 20 A, INCLUINDO SUPORTE E PLACA - FORNECIMENTO E INSTALAÇÃO. AF_03/2023</t>
  </si>
  <si>
    <t>RASGO LINEAR MANUAL EM ALVENARIA, PARA ELETRODUTOS, DIÂMETROS MENORES OU IGUAIS A 40 MM. AF_09/2023</t>
  </si>
  <si>
    <t>CHUMBAMENTO LINEAR EM ALVENARIA PARA ELETRODUTOS COM DIÂMETROS MENORES OU IGUAIS A 40 MM. AF_09/2023</t>
  </si>
  <si>
    <t>INSTALAÇÕES PREVENTIVAS DE INCÊNDIO</t>
  </si>
  <si>
    <t xml:space="preserve"> 14.1 </t>
  </si>
  <si>
    <t>EXTINTORES</t>
  </si>
  <si>
    <t xml:space="preserve"> 14.1.1 </t>
  </si>
  <si>
    <t>EXTINTOR DE INCÊNDIO PORTÁTIL COM CARGA DE PQS DE 4 KG, CLASSE ABC - FORNECIMENTO E INSTALAÇÃO.</t>
  </si>
  <si>
    <t xml:space="preserve"> 14.1.2 </t>
  </si>
  <si>
    <t>PLACA DE SINALIZACAO DE SEGURANCA CONTRA INCENDIO, FOTOLUMINESCENTE, 20x20 CM, EM PVC *2* MM ANTI-CHAMAS (SIMBOLOS, CORES E PICTOGRAMAS CONFORME NBR 13434) - FORNECIMENTO E INSTALAÇÃO</t>
  </si>
  <si>
    <t xml:space="preserve"> 14.2 </t>
  </si>
  <si>
    <t>ILUMINAÇÃO DE EMERGÊNCIA</t>
  </si>
  <si>
    <t xml:space="preserve"> 14.2.1 </t>
  </si>
  <si>
    <t>LUMINÁRIA DE EMERGÊNCIA, COM 30 LÂMPADAS LED DE 2 W, SEM REATOR - FORNECIMENTO E INSTALAÇÃO. AF_02/2020</t>
  </si>
  <si>
    <t xml:space="preserve"> 14.3 </t>
  </si>
  <si>
    <t>SINALIZAÇÃO</t>
  </si>
  <si>
    <t xml:space="preserve"> 14.3.1 </t>
  </si>
  <si>
    <t xml:space="preserve"> 14.4 </t>
  </si>
  <si>
    <t xml:space="preserve"> 14.4.1 </t>
  </si>
  <si>
    <t>SUPORTE MÃO FRANCESA EM AÇO E GRAMPO EM "U" PARA TUBULAÇÃO ATÉ 4" - FORNECIMENTO E INSTALAÇÃO</t>
  </si>
  <si>
    <t>CORRIMÃO SIMPLES, DIÂMETRO EXTERNO = 1 1/2", EM AÇO GALVANIZADO. AF_04/2019_PS</t>
  </si>
  <si>
    <t>PINTURA COM TINTA ALQUÍDICA DE FUNDO (TIPO ZARCÃO) PULVERIZADA SOBRE PERFIL METÁLICO EXECUTADO EM FÁBRICA (POR DEMÃO). AF_01/2020_PE</t>
  </si>
  <si>
    <t>PINTURA COM TINTA ALQUÍDICA DE ACABAMENTO (ESMALTE SINTÉTICO BRILHANTE) PULVERIZADA SOBRE PERFIL METÁLICO EXECUTADO EM FÁBRICA  (POR DEMÃO). AF_01/2020_PE</t>
  </si>
  <si>
    <t>CLIMATIZAÇÃO E EXAUSTÃO</t>
  </si>
  <si>
    <t>CABEAMENTO ESTRUTURADO</t>
  </si>
  <si>
    <t>TOMADA DE REDE RJ45 - FORNECIMENTO E INSTALAÇÃO. AF_11/2019</t>
  </si>
  <si>
    <t>TOMADA DE REDE 2 MÓDULOS RJ45 - FORNECIMENTO E INSTALAÇÃO.</t>
  </si>
  <si>
    <t>REGUA DE TOMADAS 12 UN 19" 1 U - FORNECIMENTO E INSTALAÇÃO</t>
  </si>
  <si>
    <t>GUIA FECHADO PARA CABOS 1 U - FORNECIMENTO E INSTALAÇÃO (ORSE)</t>
  </si>
  <si>
    <t>FRENTE FALSA 1U PARA RACK - FORNECIMENTO E INSTALAÇÃO (SETOP)</t>
  </si>
  <si>
    <t>Kit Ventilação composto por 2 Ventiladores Bi-Volts, inclusive fixação em Rack 19"</t>
  </si>
  <si>
    <t>KEYSTONE RJ45, CAT 6 PARA PATCH PANEL - FORNECIMENTO E INSTALAÇÃO</t>
  </si>
  <si>
    <t>Câmera filmadora Day/Night, Instalação interna e externa alcance 40 m - Fornecimento e instalação</t>
  </si>
  <si>
    <t>CABO ELETRÔNICO CATEGORIA 6, INSTALADO EM EDIFICAÇÃO INSTITUCIONAL - FORNECIMENTO E INSTALAÇÃO. AF_11/2019</t>
  </si>
  <si>
    <t>ROTEADOR ACCESS POINT WIRELESS 1/10/100/1000 POE - FORNECIMENTO E INSTALAÇÃO</t>
  </si>
  <si>
    <t>COMPLEMENTAÇÃO DA OBRA</t>
  </si>
  <si>
    <t>SERVIÇOS FINAIS</t>
  </si>
  <si>
    <t>LIMPEZA FINAL DA OBRA</t>
  </si>
  <si>
    <t>CARGA, MANOBRA E DESCARGA DE ENTULHO EM CAMINHÃO BASCULANTE 10 M³ - CARGA COM ESCAVADEIRA HIDRÁULICA  (CAÇAMBA DE 0,80 M³ / 111 HP) E DESCARGA LIVRE (UNIDADE: M3). AF_07/2020</t>
  </si>
  <si>
    <t>Bases de dados:</t>
  </si>
  <si>
    <t xml:space="preserve">Valor Unit </t>
  </si>
  <si>
    <t>PORTAS E ACABAMENTOS</t>
  </si>
  <si>
    <t xml:space="preserve">DEMOLIÇÕES </t>
  </si>
  <si>
    <t xml:space="preserve"> 4.4</t>
  </si>
  <si>
    <t xml:space="preserve"> 4.5</t>
  </si>
  <si>
    <t xml:space="preserve"> 4.6</t>
  </si>
  <si>
    <t xml:space="preserve"> 6.3</t>
  </si>
  <si>
    <t xml:space="preserve"> 6.4</t>
  </si>
  <si>
    <t>IMPERMEABILIZAÇÃO DE SUPERFÍCIE COM MANTA ASFÁLTICA, UMA CAMADA, INCLUSIVE APLICAÇÃO DE PRIMER ASFÁLTICO, E=4MM. AF_09/2023</t>
  </si>
  <si>
    <t>CONTRAPISO EM ARGAMASSA TRAÇO 1:4 (CIMENTO E AREIA), PREPARO MECÂNICO COM BETONEIRA 400 L, APLICADO EM ÁREAS MOLHADAS SOBRE IMPERMEABILIZAÇÃO, ACABAMENTO NÃO REFORÇADO, ESPESSURA 4CM. AF_07/2021</t>
  </si>
  <si>
    <t xml:space="preserve"> 7.1.6</t>
  </si>
  <si>
    <t>FORRO EM DRYWALL, PARA AMBIENTES COMERCIAIS, INCLUSIVE ESTRUTURA BIRECIONAL DE FIXAÇÃO. AF_08/2023_PS</t>
  </si>
  <si>
    <t xml:space="preserve"> 8.2</t>
  </si>
  <si>
    <t xml:space="preserve"> 8.2.2</t>
  </si>
  <si>
    <t xml:space="preserve"> 8.2.3</t>
  </si>
  <si>
    <t xml:space="preserve"> 9.1.2</t>
  </si>
  <si>
    <t xml:space="preserve"> 9.1.3</t>
  </si>
  <si>
    <t xml:space="preserve"> 9.1.4</t>
  </si>
  <si>
    <t>REVESTIMENTO CERÂMICO PARA PISO COM PLACAS TIPO PORCELANATO DE DIMENSÕES 60X60 CM APLICADA EM AMBIENTES DE ÁREA MAIOR QUE 10 M². AF_02/2023_PE</t>
  </si>
  <si>
    <t xml:space="preserve"> 9.2.2</t>
  </si>
  <si>
    <t xml:space="preserve"> 9.2.3</t>
  </si>
  <si>
    <t xml:space="preserve"> 9.2.4</t>
  </si>
  <si>
    <t xml:space="preserve"> 9.2.5</t>
  </si>
  <si>
    <t>PEITORIL DE GRANITO, NA COR BRANCO ITAÚNAS, COM PINGADEIRA, ESP. 2CM, ACABAMENTO POLIDO, ASSENTAMENTO COM ARGAMASSA INDUSTRIALIZADA, INCLUSIVE REJUNTAMENTO</t>
  </si>
  <si>
    <t xml:space="preserve"> 10.2.2</t>
  </si>
  <si>
    <t xml:space="preserve"> 10.2.3</t>
  </si>
  <si>
    <t xml:space="preserve"> 10.2.4</t>
  </si>
  <si>
    <t xml:space="preserve"> 10.2.5</t>
  </si>
  <si>
    <t xml:space="preserve"> 10.2.6</t>
  </si>
  <si>
    <t>REGISTRO DE GAVETA BRUTO, LATÃO, ROSCÁVEL, 3/4", COM ACABAMENTO E CANOPLA CROMADOS - FORNECIMENTO E INSTALAÇÃO. AF_08/2021</t>
  </si>
  <si>
    <t>ESGOTO E PLUVIAL</t>
  </si>
  <si>
    <t>JOELHO 90 GRAUS, PVC, SERIE NORMAL, ESGOTO PREDIAL, DN 75 MM, JUNTA ELÁSTICA, FORNECIDO E INSTALADO EM PRUMADA DE ESGOTO SANITÁRIO OU VENTILAÇÃO. AF_08/2022</t>
  </si>
  <si>
    <t>LUVA SIMPLES, PVC, SÉRIE NORMAL, ESGOTO PREDIAL, DN 150 MM, JUNTA ELÁSTICA, FORNECIDO E INSTALADO EM SUBCOLETOR AÉREO DE ESGOTO SANITÁRIO. AF_08/2022</t>
  </si>
  <si>
    <t>REDUÇÃO EXCÊNTRICA, PVC, SERIE R, ÁGUA PLUVIAL, DN 100 X 75 MM, JUNTA ELÁSTICA, FORNECIDO E INSTALADO EM RAMAL DE ENCAMINHAMENTO. AF_06/2022</t>
  </si>
  <si>
    <t>TUBO DE CONCRETO (SIMPLES) PARA REDES COLETORAS DE ÁGUAS PLUVIAIS, DIÂMETRO DE 300 MM, JUNTA RÍGIDA, INSTALADO EM LOCAL COM ALTO NÍVEL DE INTERFERÊNCIAS - FORNECIMENTO E ASSENTAMENTO. AF_03/2024</t>
  </si>
  <si>
    <t>CUBA DE EMBUTIR RETANGULAR DE AÇO INOXIDÁVEL, 46 X 30 X 12 CM - FORNECIMENTO E INSTALAÇÃO. AF_01/2020</t>
  </si>
  <si>
    <t>TORNEIRA CROMADA TUBO MÓVEL, DE MESA, 1/2" OU 3/4", PARA PIA DE COZINHA, PADRÃO ALTO - FORNECIMENTO E INSTALAÇÃO. AF_01/2020</t>
  </si>
  <si>
    <t xml:space="preserve"> 12.2.3</t>
  </si>
  <si>
    <t xml:space="preserve"> 12.2.4</t>
  </si>
  <si>
    <t>CHUVEIRO ELÉTRICO COMUM CORPO PLÁSTICO, TIPO DUCHA - FORNECIMENTO E INSTALAÇÃO. AF_01/2020</t>
  </si>
  <si>
    <t xml:space="preserve"> 12.3.5</t>
  </si>
  <si>
    <t xml:space="preserve"> 12.3.6</t>
  </si>
  <si>
    <t xml:space="preserve"> 12.3.7</t>
  </si>
  <si>
    <t xml:space="preserve"> 12.3.8</t>
  </si>
  <si>
    <t xml:space="preserve"> 12.3.9</t>
  </si>
  <si>
    <t xml:space="preserve"> 12.3.10</t>
  </si>
  <si>
    <t xml:space="preserve"> 14.3.3</t>
  </si>
  <si>
    <t xml:space="preserve"> 14.4.7</t>
  </si>
  <si>
    <t xml:space="preserve"> 14.4.8</t>
  </si>
  <si>
    <t xml:space="preserve"> 14.4.9</t>
  </si>
  <si>
    <t xml:space="preserve"> 14.4.10</t>
  </si>
  <si>
    <t>ESCAVAÇÃO MANUAL DE VALA. AF_09/2024</t>
  </si>
  <si>
    <t xml:space="preserve"> 14.4.11</t>
  </si>
  <si>
    <t xml:space="preserve"> 14.4.12</t>
  </si>
  <si>
    <t xml:space="preserve"> 14.4.13</t>
  </si>
  <si>
    <t>EQUIPAMENTOS</t>
  </si>
  <si>
    <t>TOTAIS</t>
  </si>
  <si>
    <t/>
  </si>
  <si>
    <t>VALOR TOTAL MATERIAL (CUSTO DE MERCADO)</t>
  </si>
  <si>
    <t>VALOR TOTAL MÃO DE OBRA (CUSTO DE MERCADO)</t>
  </si>
  <si>
    <t>VALOR TOTAL DO ORÇAMENTO</t>
  </si>
  <si>
    <t>COMPOSIÇÃO DO BDI - OBRA</t>
  </si>
  <si>
    <t>DESCRIÇÃO</t>
  </si>
  <si>
    <t>GARANTIA/SEGURO (S)</t>
  </si>
  <si>
    <t xml:space="preserve">RISCO (R) </t>
  </si>
  <si>
    <t xml:space="preserve">Fórmula para determinação do BDI </t>
  </si>
  <si>
    <t>DESPESAS FINANCEIRAS (ACORDÃO 2.622/2013 TCU) (DF)</t>
  </si>
  <si>
    <t>Conforme determinação do Acórdão 2.622/2013-TCU-Plenário)</t>
  </si>
  <si>
    <t>ADMINISTRAÇÃO CENTRAL (AC)</t>
  </si>
  <si>
    <t>LUCRO (L)</t>
  </si>
  <si>
    <t>TRIBUTOS (I)</t>
  </si>
  <si>
    <t>COFINS</t>
  </si>
  <si>
    <t>PIS</t>
  </si>
  <si>
    <t>CPRB (CONTRIBUIÇÃO PREVIDENCIÁRIA SOBRE A RECEITA BRUTA)</t>
  </si>
  <si>
    <t>BDI A SER APLICADO</t>
  </si>
  <si>
    <t>BDI APLICADO SOBRE O  TOTAL DE MATERIAL - OBRA</t>
  </si>
  <si>
    <t>BDI APLICADO SOBRE O TOTAL DE MÃO DE OBRA - OBRA</t>
  </si>
  <si>
    <t>VALOR TOTAL DO BDI - OBRA</t>
  </si>
  <si>
    <t>ISS (REFERENTE A PREFEITURA DE FLORIANÓPOLIS)</t>
  </si>
  <si>
    <t xml:space="preserve">ISS - Município de Florianópolis e São José 1,50% ( 3,0 % sobre mão de obra, considerada como 50% do Preço de Venda - Fonte: Decreto Municipal nº 2.154/2003 - Lei Complementar nº 126/2003)
</t>
  </si>
  <si>
    <t>COMPOSIÇÃO DO BDI DIFERENCIADO - EQUIPAMENTOS</t>
  </si>
  <si>
    <t>BDI APLICADO SOBRE O  TOTAL DE MATERIAL - EQUIPAMENTOS</t>
  </si>
  <si>
    <t>BDI APLICADO SOBRE O TOTAL DE MÃO DE OBRA - EQUIPAMENTOS</t>
  </si>
  <si>
    <t>VALOR TOTAL MATERIAL (CUSTO DE MERCADO + BDI)</t>
  </si>
  <si>
    <t>VALOR TOTAL MÃO DE OBRA (CUSTO DE MERCADO + BDI)</t>
  </si>
  <si>
    <t>PROFISSIONAL RESPONSÁVEL PELO ORÇAMENTO:</t>
  </si>
  <si>
    <t>NÚMERO DE REGISTRO NO CREA OU CAU:</t>
  </si>
  <si>
    <t>125.007-9</t>
  </si>
  <si>
    <t>Assinatura</t>
  </si>
  <si>
    <t>NÚMERO DA ART OU RRT:</t>
  </si>
  <si>
    <t>Jacson Jeremias</t>
  </si>
  <si>
    <t>CRONOGRAMA FÍSICO-FINANCEIRO</t>
  </si>
  <si>
    <t xml:space="preserve">      PARCELA 01</t>
  </si>
  <si>
    <t xml:space="preserve">      PARCELA 02</t>
  </si>
  <si>
    <t xml:space="preserve">      PARCELA 03</t>
  </si>
  <si>
    <t xml:space="preserve">      PARCELA 04</t>
  </si>
  <si>
    <t xml:space="preserve">      PARCELA 05</t>
  </si>
  <si>
    <t xml:space="preserve">      PARCELA 06</t>
  </si>
  <si>
    <t xml:space="preserve">      PARCELA 07</t>
  </si>
  <si>
    <t xml:space="preserve">      PARCELA 08</t>
  </si>
  <si>
    <t xml:space="preserve">      PARCELA 09</t>
  </si>
  <si>
    <t xml:space="preserve">      PARCELA 10</t>
  </si>
  <si>
    <t xml:space="preserve">      PARCELA 19</t>
  </si>
  <si>
    <t xml:space="preserve">      PARCELA 20</t>
  </si>
  <si>
    <t xml:space="preserve">      PARCELA 21</t>
  </si>
  <si>
    <t xml:space="preserve">      PARCELA 22</t>
  </si>
  <si>
    <t xml:space="preserve">      PARCELA 23</t>
  </si>
  <si>
    <t xml:space="preserve">      PARCELA 24</t>
  </si>
  <si>
    <t>total percentual</t>
  </si>
  <si>
    <t xml:space="preserve">     MATERIAL</t>
  </si>
  <si>
    <t xml:space="preserve">  MÃO DE OBRA</t>
  </si>
  <si>
    <t>ÍTEM</t>
  </si>
  <si>
    <t xml:space="preserve">DISCRIMINAÇÃO </t>
  </si>
  <si>
    <t>MATER. TOTAL (R$)</t>
  </si>
  <si>
    <t>M.D.O. TOTAL (R$)</t>
  </si>
  <si>
    <t>TOTAL ÍTEM (R$)</t>
  </si>
  <si>
    <t>%</t>
  </si>
  <si>
    <t>(R$)</t>
  </si>
  <si>
    <t>OBRA</t>
  </si>
  <si>
    <t>VALOR TOTAL DO ORÇAMENTO - OBRA</t>
  </si>
  <si>
    <t>VALOR TOTAL MATERIAL (Custo de mercado)</t>
  </si>
  <si>
    <t>VALOR TOTAL MÃO DE OBRA (Custo de mercado)</t>
  </si>
  <si>
    <t>Valor Total de Material com BDI - Obra</t>
  </si>
  <si>
    <t>Valor Total de Mão de Obra com BDI - Obra</t>
  </si>
  <si>
    <t>EQUIPAMENTO</t>
  </si>
  <si>
    <t>Valor Total de Material com BDI - Equipamento</t>
  </si>
  <si>
    <t>Valor Total de Mão de Obra com BDI - Equipamento</t>
  </si>
  <si>
    <t>Valor total da parcela/percentual da parcela</t>
  </si>
  <si>
    <t>Valor total acumulado/percentual acumulado</t>
  </si>
  <si>
    <t>Profissional responsável pelo orçamento:</t>
  </si>
  <si>
    <t>Número de Registro no CREA ou CAU:</t>
  </si>
  <si>
    <t>Número da ART ou RRT:</t>
  </si>
  <si>
    <r>
      <t>OBSERVAÇÕES:</t>
    </r>
    <r>
      <rPr>
        <sz val="9"/>
        <rFont val="Arial"/>
        <family val="2"/>
      </rPr>
      <t xml:space="preserve"> </t>
    </r>
  </si>
  <si>
    <t>1 - As informações mínimas que deverão constar no Cronograma Físico Financeiro são:  - Valor e percentual</t>
  </si>
  <si>
    <t>de material e mão de obra referente a cada parcela, valor total da parcela, valor de material por parcela,</t>
  </si>
  <si>
    <t>valor de mão de obra por parcela, percentual referente a cada parcela em relação ao custo da Obra.</t>
  </si>
  <si>
    <t>2 - O Cronograma acima deverá ser apresentado utilizando papel timbrado da empresa;</t>
  </si>
  <si>
    <t>3 - Os itens elencados acima são referentes a obra ora em licitação, e servirão de referências para cotação.</t>
  </si>
  <si>
    <t>DIFUSOR CIRCULAR COM REGULAGEM DE VAZÃO EM PLÁSTICO ABS. DIÂMETRO 100 MM. REF.: SICFLUX - RVA 100 - FORNECIMENTO E INSTALAÇÃO</t>
  </si>
  <si>
    <t>CAIXA DE FILTRAGEM REDONDA EM CHAPA DE AÇO GALVANIZADO, COM FILTROS G4+M5 - DIÂMETRO DE 150MM - FORNECIMENTO E INSTALAÇÃO</t>
  </si>
  <si>
    <t>Porcelanato 60x60 cm - Ref.: VIA DURINI OFF WHITE NAT RET</t>
  </si>
  <si>
    <t>AR-CONDICIONADO SPLIT HI-WALL INVERTER, CAPACIDADE NOMINAL DE 12.000 BTU/H, QUENTE E FRIO</t>
  </si>
  <si>
    <t xml:space="preserve"> 2.1.2</t>
  </si>
  <si>
    <t xml:space="preserve"> 2.1.3</t>
  </si>
  <si>
    <t xml:space="preserve"> 2.1.4</t>
  </si>
  <si>
    <t xml:space="preserve"> 2.1.5</t>
  </si>
  <si>
    <t xml:space="preserve"> 2.1.6</t>
  </si>
  <si>
    <t xml:space="preserve"> 2.1.7</t>
  </si>
  <si>
    <t xml:space="preserve"> 2.1.8</t>
  </si>
  <si>
    <t xml:space="preserve"> 2.1.9</t>
  </si>
  <si>
    <t xml:space="preserve"> 2.1.10</t>
  </si>
  <si>
    <t xml:space="preserve"> 2.1.11</t>
  </si>
  <si>
    <t xml:space="preserve"> 2.1.12</t>
  </si>
  <si>
    <t xml:space="preserve"> 2.1.13</t>
  </si>
  <si>
    <t>ALVENARIA DE VEDAÇÃO DE BLOCOS VAZADOS DE CONCRETO DE 14X19X39 CM (ESPESSURA 14 CM)  E ARGAMASSA DE ASSENTAMENTO COM PREPARO EM BETONEIRA. AF_12/2021</t>
  </si>
  <si>
    <t xml:space="preserve"> 4.3</t>
  </si>
  <si>
    <t xml:space="preserve"> 4.7</t>
  </si>
  <si>
    <t>PERFIL TABICA GALVANIZADO, TIPO LISA, COM ACABAMENTO EM PINTURA, NA COR BRANCA, PARA FORRO EM CHAPA DE GESSO ACARTONADO, INCLUSIVE ACESSÓRIOS DE FIXAÇÃO</t>
  </si>
  <si>
    <t xml:space="preserve"> 8.1.2</t>
  </si>
  <si>
    <t>FUNDO SELADOR ACRÍLICO, APLICAÇÃO MANUAL EM TETO, UMA DEMÃO. AF_04/2023</t>
  </si>
  <si>
    <t xml:space="preserve"> 8.2.4</t>
  </si>
  <si>
    <t>LASTRO COM MATERIAL GRANULAR, APLICADO EM PISOS OU LAJES SOBRE SOLO, ESPESSURA DE *5 CM*. AF_01/2024</t>
  </si>
  <si>
    <t>BATENTE PARA PORTA DE MADEIRA, FIXAÇÃO COM ARGAMASSA, PADRÃO MÉDIO - FORNECIMENTO E INSTALAÇÃO. AF_12/2019</t>
  </si>
  <si>
    <t>FERROLHO/FECHO/TARJETA OU TRINCO PINO REDONDO 8" SOBREPOR FERRO ZINC/GALV OU POLIDO - FORNECIMENTO E INSTALAÇÃO</t>
  </si>
  <si>
    <t>RASGO LINEAR MANUAL EM ALVENARIA, PARA RAMAIS/ DISTRIBUIÇÃO DE INSTALAÇÕES HIDRÁULICAS, DIÂMETROS MENORES OU IGUAIS A 40 MM. AF_09/2023</t>
  </si>
  <si>
    <t>CHUMBAMENTO LINEAR EM ALVENARIA PARA RAMAIS/DISTRIBUIÇÃO DE INSTALAÇÕES HIDRÁULICAS COM DIÂMETROS MENORES OU IGUAIS A 40 MM. AF_09/2023</t>
  </si>
  <si>
    <t xml:space="preserve"> 11.1.22</t>
  </si>
  <si>
    <t xml:space="preserve"> 11.1.23</t>
  </si>
  <si>
    <t>JUNTA ARGAMASSADA ENTRE TUBO DN 100 MM E O POÇO DE VISITA/ CAIXA DE CONCRETO OU ALVENARIA EM REDES DE ESGOTO. AF_01/2021</t>
  </si>
  <si>
    <t>JUNTA ARGAMASSADA ENTRE TUBO DN 300 MM E O POÇO DE VISITA/ CAIXA DE CONCRETO OU ALVENARIA EM REDES DE ESGOTO. AF_01/2021</t>
  </si>
  <si>
    <t>PREPARO DE FUNDO DE VALA COM LARGURA MENOR QUE 1,5 M, COM CAMADA DE AREIA, LANÇAMENTO MANUAL. AF_08/2020</t>
  </si>
  <si>
    <t xml:space="preserve"> 11.2.44</t>
  </si>
  <si>
    <t xml:space="preserve"> 11.2.45</t>
  </si>
  <si>
    <t xml:space="preserve"> 11.2.46</t>
  </si>
  <si>
    <t xml:space="preserve"> 11.2.47</t>
  </si>
  <si>
    <t xml:space="preserve"> 11.2.48</t>
  </si>
  <si>
    <t xml:space="preserve"> 11.2.49</t>
  </si>
  <si>
    <t xml:space="preserve"> 13.1.70</t>
  </si>
  <si>
    <t xml:space="preserve"> 13.1.71</t>
  </si>
  <si>
    <t xml:space="preserve"> 13.1.72</t>
  </si>
  <si>
    <t xml:space="preserve"> 13.1.73</t>
  </si>
  <si>
    <t xml:space="preserve"> 13.1.74</t>
  </si>
  <si>
    <t xml:space="preserve"> 13.1.75</t>
  </si>
  <si>
    <t xml:space="preserve"> 13.1.76</t>
  </si>
  <si>
    <t xml:space="preserve"> 13.1.77</t>
  </si>
  <si>
    <t xml:space="preserve"> 13.1.78</t>
  </si>
  <si>
    <t xml:space="preserve"> 13.1.79</t>
  </si>
  <si>
    <t>CABO DE COBRE ISOLADO, 25 MM², ANTI-CHAMA 0,6/1 KV, INSTALADO EM ELETROCALHA OU PERFILADO - FORNECIMENTO E INSTALAÇÃO. AF_10/2020</t>
  </si>
  <si>
    <t>DISJUNTOR MONOPOLAR TIPO DIN, CORRENTE NOMINAL DE 40A - FORNECIMENTO E INSTALAÇÃO. AF_10/2020</t>
  </si>
  <si>
    <t>ELETRODUTO FLEXÍVEL CORRUGADO, PEAD, DN 90 (3"), PARA REDE ENTERRADA DE DISTRIBUIÇÃO DE ENERGIA ELÉTRICA - FORNECIMENTO E INSTALAÇÃO. AF_12/2021</t>
  </si>
  <si>
    <t>ELETRODUTO RÍGIDO ROSCÁVEL, PVC, DN 25 MM (3/4"), PARA CIRCUITOS TERMINAIS, INSTALADO EM PAREDE - FORNECIMENTO E INSTALAÇÃO. AF_03/2023</t>
  </si>
  <si>
    <t>ELETRODUTO RÍGIDO ROSCÁVEL, PVC, DN 32 MM (1"), PARA CIRCUITOS TERMINAIS, INSTALADO EM PAREDE - FORNECIMENTO E INSTALAÇÃO. AF_03/2023</t>
  </si>
  <si>
    <t>LUVA PARA ELETRODUTO, PVC, ROSCÁVEL, DN 25 MM (3/4"), PARA CIRCUITOS TERMINAIS, INSTALADA EM PAREDE - FORNECIMENTO E INSTALAÇÃO. AF_03/2023</t>
  </si>
  <si>
    <t>LUVA PARA ELETRODUTO, PVC, ROSCÁVEL, DN 32 MM (1"), PARA CIRCUITOS TERMINAIS, INSTALADA EM PAREDE - FORNECIMENTO E INSTALAÇÃO. AF_03/2023</t>
  </si>
  <si>
    <t>FORNECIMENTO E INSTALAÇÃO DE ELETROCALHA METÁLICA PERFURADA 100 X   50  MM (ORSE)</t>
  </si>
  <si>
    <t>SUPORTE VERTICAL  100 X 50 MM  PARA FIXAÇÃO DE ELETROCALHA METÁLICA ( REF.: MOPA OU SIMILAR)</t>
  </si>
  <si>
    <t>SAIDA HORIZONTAL PARA ELETRODUTO 3/4"</t>
  </si>
  <si>
    <t>MAO DE OBRA INSTALAÇÃO DE AR CONDICIONADO SPLIT 7000 A 12000 BTUS - INCLUSO SUPORTES METÁLICOS COM PINTURA EM EPÓXI</t>
  </si>
  <si>
    <t>MAO DE OBRA INSTALAÇÃO DE AR CONDICIONADO SPLIT 18000 A 30000 BTUS - INCLUSO SUPORTES METÁLICOS COM PINTURA EM EPÓXI</t>
  </si>
  <si>
    <t>DIFUSORES, GRELHAS E VENEZIANAS</t>
  </si>
  <si>
    <t>TUBULAÇÃO DE COBRE E ISOLAMENTO</t>
  </si>
  <si>
    <t>TUBO EM COBRE FLEXÍVEL, DN 1/4", COM ISOLAMENTO, INSTALADO EM RAMAL DE ALIMENTAÇÃO DE AR CONDICIONADO COM CONDENSADORA INDIVIDUAL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</si>
  <si>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</si>
  <si>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</si>
  <si>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DUTOS E ACESSÓRIOS</t>
  </si>
  <si>
    <t>TUBO PVC, SERIE NORMAL, ESGOTO PREDIAL, DN 100 MM, FORNECIDO E INSTALADO EM SUBCOLETOR AÉREO DE ESGOTO SANITÁRIO. AF_08/2022</t>
  </si>
  <si>
    <t>TUBO PVC, SERIE NORMAL, ESGOTO PREDIAL, DN 150 MM, FORNECIDO E INSTALADO EM SUBCOLETOR AÉREO DE ESGOTO SANITÁRIO. AF_08/2022</t>
  </si>
  <si>
    <t>LUVA DE PVC, SÉRIE NORMAL, PARA ESGOTO PREDIAL, DN 100 MM, INSTALADA EM DRENO  - FORNECIMENTO E INSTALAÇÃO. AF_07/2021</t>
  </si>
  <si>
    <t>JOELHO 90 GRAUS, PVC, SERIE NORMAL, ESGOTO PREDIAL, DN 100 MM, JUNTA ELÁSTICA, FORNECIDO E INSTALADO EM SUBCOLETOR AÉREO DE ESGOTO SANITÁRIO. AF_08/2022</t>
  </si>
  <si>
    <t>JOELHO 90 GRAUS, PVC, SERIE NORMAL, ESGOTO PREDIAL, DN 150 MM, JUNTA ELÁSTICA, FORNECIDO E INSTALADO EM SUBCOLETOR AÉREO DE ESGOTO SANITÁRIO. AF_08/2022</t>
  </si>
  <si>
    <t>TÊ, PVC, SERIE R, ÁGUA PLUVIAL, DN 150 X 100 MM, JUNTA ELÁSTICA, FORNECIDO E INSTALADO EM RAMAL DE ENCAMINHAMENTO. AF_06/2022</t>
  </si>
  <si>
    <t>Bucha Redução excentrica em pvc rígido soldável, para esgoto, d=150x100mm</t>
  </si>
  <si>
    <t>JUNTA FLEXÍVEL P/ SISTEMAS DE EXAUSTÃO - 70X100X70MM</t>
  </si>
  <si>
    <t>FITA ALUMINIZADA PARA FECHAMENTO DE PROTEÇÃO 50MM</t>
  </si>
  <si>
    <t>DIVERSOS</t>
  </si>
  <si>
    <t>ELETRODUTO FLEXÍVEL CORRUGADO REFORÇADO, PVC, DN 25 MM (3/4"), PARA CIRCUITOS TERMINAIS, INSTALADO EM FORRO - FORNECIMENTO E INSTALAÇÃO. AF_03/2023_PA</t>
  </si>
  <si>
    <t>Suporte de fixação de tubulação Ø 3" com vergalhão de 3/8"x1000mm</t>
  </si>
  <si>
    <t>Fornecimento e instalação de saída horizontal dupla para eletroduto 1"</t>
  </si>
  <si>
    <t>PEÇAS DE REPOSIÇÃO</t>
  </si>
  <si>
    <t>Porcelanato 60x60 cm - brasilia concreto cinza - Ref. Portobello</t>
  </si>
  <si>
    <t>AR CONDICIONADO SPLIT INVERTER, HI-WALL (PAREDE), 9000 BTU/H, CICLO QUENTE/FRIO, 60HZ, CLASSIFICACAO A (SELO PROCEL), GAS HFC, CONTROLE S/FIO</t>
  </si>
  <si>
    <t>AR CONDICIONADO SPLIT INVERTER, HI-WALL (PAREDE), 18000 BTU/H, CICLO QUENTE/FRIO, 60HZ, CLASSIFICACAO A (SELO PROCEL), GAS HFC, CONTROLE S/FIO</t>
  </si>
  <si>
    <t xml:space="preserve"> 13.1.5</t>
  </si>
  <si>
    <t xml:space="preserve"> 13.1.6</t>
  </si>
  <si>
    <t xml:space="preserve"> 13.1.7</t>
  </si>
  <si>
    <t xml:space="preserve"> 13.1.8</t>
  </si>
  <si>
    <t xml:space="preserve"> 13.1.9</t>
  </si>
  <si>
    <t xml:space="preserve"> 13.1.10</t>
  </si>
  <si>
    <t xml:space="preserve"> 13.1.11</t>
  </si>
  <si>
    <t xml:space="preserve"> 13.1.12</t>
  </si>
  <si>
    <t xml:space="preserve"> 13.1.13</t>
  </si>
  <si>
    <t xml:space="preserve"> 13.1.14</t>
  </si>
  <si>
    <t xml:space="preserve"> 13.1.15</t>
  </si>
  <si>
    <t xml:space="preserve"> 13.1.16</t>
  </si>
  <si>
    <t xml:space="preserve"> 13.1.17</t>
  </si>
  <si>
    <t xml:space="preserve"> 13.1.18</t>
  </si>
  <si>
    <t xml:space="preserve"> 13.1.19</t>
  </si>
  <si>
    <t xml:space="preserve"> 13.1.20</t>
  </si>
  <si>
    <t xml:space="preserve"> 13.1.21</t>
  </si>
  <si>
    <t xml:space="preserve"> 13.1.22</t>
  </si>
  <si>
    <t xml:space="preserve"> 13.1.23</t>
  </si>
  <si>
    <t xml:space="preserve"> 13.1.24</t>
  </si>
  <si>
    <t xml:space="preserve"> 13.1.25</t>
  </si>
  <si>
    <t xml:space="preserve"> 13.1.26</t>
  </si>
  <si>
    <t xml:space="preserve"> 13.1.27</t>
  </si>
  <si>
    <t xml:space="preserve"> 13.1.28</t>
  </si>
  <si>
    <t xml:space="preserve"> 13.1.29</t>
  </si>
  <si>
    <t xml:space="preserve"> 13.1.30</t>
  </si>
  <si>
    <t xml:space="preserve"> 13.1.31</t>
  </si>
  <si>
    <t xml:space="preserve"> 13.1.32</t>
  </si>
  <si>
    <t xml:space="preserve"> 13.1.33</t>
  </si>
  <si>
    <t xml:space="preserve"> 13.1.34</t>
  </si>
  <si>
    <t xml:space="preserve"> 13.1.35</t>
  </si>
  <si>
    <t xml:space="preserve"> 13.1.36</t>
  </si>
  <si>
    <t xml:space="preserve"> 13.1.37</t>
  </si>
  <si>
    <t xml:space="preserve"> 13.1.38</t>
  </si>
  <si>
    <t xml:space="preserve"> 13.1.39</t>
  </si>
  <si>
    <t xml:space="preserve"> 13.1.40</t>
  </si>
  <si>
    <t xml:space="preserve"> 13.1.41</t>
  </si>
  <si>
    <t xml:space="preserve"> 13.1.42</t>
  </si>
  <si>
    <t xml:space="preserve"> 13.1.43</t>
  </si>
  <si>
    <t xml:space="preserve"> 13.1.44</t>
  </si>
  <si>
    <t xml:space="preserve"> 13.1.45</t>
  </si>
  <si>
    <t xml:space="preserve"> 13.1.46</t>
  </si>
  <si>
    <t xml:space="preserve"> 13.1.47</t>
  </si>
  <si>
    <t xml:space="preserve"> 13.1.48</t>
  </si>
  <si>
    <t xml:space="preserve"> 13.1.49</t>
  </si>
  <si>
    <t xml:space="preserve"> 13.1.50</t>
  </si>
  <si>
    <t xml:space="preserve"> 13.1.51</t>
  </si>
  <si>
    <t xml:space="preserve"> 13.1.52</t>
  </si>
  <si>
    <t xml:space="preserve"> 13.1.53</t>
  </si>
  <si>
    <t xml:space="preserve"> 13.1.54</t>
  </si>
  <si>
    <t xml:space="preserve"> 13.1.55</t>
  </si>
  <si>
    <t xml:space="preserve"> 13.1.56</t>
  </si>
  <si>
    <t xml:space="preserve"> 13.1.57</t>
  </si>
  <si>
    <t xml:space="preserve"> 13.1.58</t>
  </si>
  <si>
    <t xml:space="preserve"> 13.1.59</t>
  </si>
  <si>
    <t xml:space="preserve"> 13.1.60</t>
  </si>
  <si>
    <t xml:space="preserve"> 13.1.61</t>
  </si>
  <si>
    <t xml:space="preserve"> 13.1.62</t>
  </si>
  <si>
    <t xml:space="preserve"> 13.1.63</t>
  </si>
  <si>
    <t xml:space="preserve"> 13.1.64</t>
  </si>
  <si>
    <t xml:space="preserve"> 13.1.65</t>
  </si>
  <si>
    <t xml:space="preserve"> 13.1.66</t>
  </si>
  <si>
    <t xml:space="preserve"> 13.1.67</t>
  </si>
  <si>
    <t xml:space="preserve"> 13.1.68</t>
  </si>
  <si>
    <t xml:space="preserve"> 13.1.69</t>
  </si>
  <si>
    <t xml:space="preserve"> 4.8</t>
  </si>
  <si>
    <t xml:space="preserve"> 1.1.2</t>
  </si>
  <si>
    <t>TAXAS DE LEGALIZAÇÃO ( ALVARÁ DE CONSTRUÇÃO, HABITE-SE, VISTORIA CBMSC )</t>
  </si>
  <si>
    <t xml:space="preserve"> 1.3.2</t>
  </si>
  <si>
    <t xml:space="preserve"> 1.3.3</t>
  </si>
  <si>
    <t xml:space="preserve"> 1.3.4</t>
  </si>
  <si>
    <t xml:space="preserve"> 1.3.5</t>
  </si>
  <si>
    <t>ENGATE FLEXÍVEL EM INOX, 1/2  X 30CM - FORNECIMENTO E INSTALAÇÃO. AF_01/2020</t>
  </si>
  <si>
    <t>SIFÃO DO TIPO GARRAFA EM METAL CROMADO 1 X 1.1/2" - FORNECIMENTO E INSTALAÇÃO. AF_01/2020</t>
  </si>
  <si>
    <t xml:space="preserve"> 13.1.2</t>
  </si>
  <si>
    <t xml:space="preserve"> 13.1.3</t>
  </si>
  <si>
    <t xml:space="preserve"> 13.1.4</t>
  </si>
  <si>
    <t>CURVA VERTICAL 100 X 50 MM PARA ELETROCALHA METÁLICA, COM ÂNGULO 90° - FORNECIMENTO E INSTALAÇÃO</t>
  </si>
  <si>
    <t>DESONERADO</t>
  </si>
  <si>
    <t>COMP.2004</t>
  </si>
  <si>
    <t>VALOR TOTAL DO ORÇAMENTO - EQUIPAMENTOS</t>
  </si>
  <si>
    <t>VALOR TOTAL DO ORÇAMENTO - SERVIÇOS ESPECIALIZADOS</t>
  </si>
  <si>
    <t>19.2.1</t>
  </si>
  <si>
    <t>VALOR TOTAL DO ORÇAMENTO - EQUIPAMENTO</t>
  </si>
  <si>
    <t>SERVIÇOS ESPECIALIZADOS</t>
  </si>
  <si>
    <t>VALOR TOTAL DO ORÇAMENTO - SERVIÇO ESPECIALIZADO</t>
  </si>
  <si>
    <t>Valor Total de Material com BDI - Serviço especializado</t>
  </si>
  <si>
    <t>Valor Total de Mão de Obra com BDI - Serviço especializado</t>
  </si>
  <si>
    <t>BDI APLICADO SOBRE O  TOTAL DE MATERIAL - SERVIÇOS ESPECIALIZADOS</t>
  </si>
  <si>
    <t>BDI APLICADO SOBRE O TOTAL DE MÃO DE OBRA - SERVIÇOS ESPECIALIZADO</t>
  </si>
  <si>
    <t>ESTRUTURA METÁLICA</t>
  </si>
  <si>
    <t>ESTRUTURA METALICA COM AÇO ASTM A-572, PARA ESTRUTURA DE COBERTURA, COMPLETA, INCLUSIVE PINTURA DE TRATAMENTO E FORNECIMENTO DE TODOS OS MATERIAIS PARA LIGACOES E FIXAÇÕES - FORNECIMENTO E INSTALAÇÃO</t>
  </si>
  <si>
    <t xml:space="preserve">IDENTIFICAÇÃO E CERTIFICAÇÃO DE REDE LÓGICA CAT6 INCLUÍNDO RELATÓRIO (ORSE) </t>
  </si>
  <si>
    <t xml:space="preserve">                                                                                  </t>
  </si>
  <si>
    <t>SESC CONGELADOS JOSÉ MENDES</t>
  </si>
  <si>
    <t>EXECUÇÃO DE PASSEIO (CALÇADA) OU PISO DE CONCRETO COM CONCRETO MOLDADO IN LOCO, USINADO, ACABAMENTO CONVENCIONAL, ESPESSURA 8 CM, ARMADO. AF_08/2022</t>
  </si>
  <si>
    <t xml:space="preserve"> 9.2.1</t>
  </si>
  <si>
    <t>CONTRAPISO EM ARGAMASSA TRAÇO 1:4 (CIMENTO E AREIA), PREPARO MECÂNICO COM BETONEIRA 400 L, APLICADO EM ÁREAS MOLHADAS SOBRE LAJE, ADERIDO, ACABAMENTO NÃO REFORÇADO, ESPESSURA 2CM. AF_07/2021</t>
  </si>
  <si>
    <t xml:space="preserve"> 10.1.1.2</t>
  </si>
  <si>
    <t xml:space="preserve"> 10.1.1.3</t>
  </si>
  <si>
    <t xml:space="preserve"> 10.1.1.4</t>
  </si>
  <si>
    <t xml:space="preserve"> 10.1.1.5</t>
  </si>
  <si>
    <t xml:space="preserve"> 10.1.1.6</t>
  </si>
  <si>
    <t xml:space="preserve"> 10.1.1.7</t>
  </si>
  <si>
    <t xml:space="preserve"> 10.1.1.8</t>
  </si>
  <si>
    <t>FECHADURA DE EMBUTIR COM CILINDRO, EXTERNA, COMPLETA, ACABAMENTO PADRÃO MÉDIO, INCLUSO EXECUÇÃO DE FURO - FORNECIMENTO E INSTALAÇÃO. AF_12/2019</t>
  </si>
  <si>
    <t xml:space="preserve"> 10.1.2.2</t>
  </si>
  <si>
    <t xml:space="preserve"> 10.1.2.3</t>
  </si>
  <si>
    <t>JANELA DE CORRER EM ALUMÍNIO PERFIL 25 COM VIDRO TEMPERADO 6 MM INCOLOR COMPLETA - FORNECIMENTOE  INSTALAÇÃO</t>
  </si>
  <si>
    <t>JANELA EM ALUMÍNIO PERFIL 25 COM VIDRO FIXO, TEMPERADO 6 MM INCOLOR COMPLETA - FORNECIMENTOE  INSTALAÇÃO</t>
  </si>
  <si>
    <t>JANELA DE ALUMÍNIO PERFIL 25 TIPO BASCULANTE, COM VIDROS TEMPERADOS 6 MM, BATENTE E FERRAGENS. FORNECIMENTO E INSTALAÇÃO.</t>
  </si>
  <si>
    <t>TELA TIPO MOSQUITEIRO, EM NYLON, COM MOLDURA EM PERFIL DE ALUMINIO ANODIZADO. FORNECIMENTO E COLOCACAO</t>
  </si>
  <si>
    <t>REVESTIMENTO TIPO PORCELANATO (PAREDE) DE DIMENSÕES 30X60 CM COM REJUNTAMENTO EM EPÓXI- FORNECIMENTO E INSTALAÇÃO (IDEA BIANCO LINE - REF. PORTOBELLO)</t>
  </si>
  <si>
    <t>EMBOÇO OU MASSA ÚNICA EM ARGAMASSA TRAÇO 1:2:8, PREPARO MECÂNICO COM BETONEIRA 400 L, APLICADA MANUALMENTE EM PANOS DE FACHADA COM PRESENÇA DE VÃOS, ESPESSURA DE 25 MM. AF_08/2022</t>
  </si>
  <si>
    <t xml:space="preserve"> 7.2.2</t>
  </si>
  <si>
    <t xml:space="preserve"> 7.2.3</t>
  </si>
  <si>
    <t xml:space="preserve"> 7.2.4</t>
  </si>
  <si>
    <t xml:space="preserve"> 7.1.2</t>
  </si>
  <si>
    <t xml:space="preserve"> 7.1.3</t>
  </si>
  <si>
    <t xml:space="preserve"> 7.1.4</t>
  </si>
  <si>
    <t xml:space="preserve"> 7.1.5</t>
  </si>
  <si>
    <t>LAVATÓRIO LOUÇA BRANCA COM COLUNA, 45 X 55CM OU EQUIVALENTE, PADRÃO MÉDIO - FORNECIMENTO E INSTALAÇÃO. AF_01/2020</t>
  </si>
  <si>
    <t>TANQUE DE LOUÇA BRANCA COM COLUNA, 30L OU EQUIVALENTE - FORNECIMENTO E INSTALAÇÃO. AF_01/2020</t>
  </si>
  <si>
    <t xml:space="preserve"> 12.1.1 </t>
  </si>
  <si>
    <t xml:space="preserve"> 12.1.2</t>
  </si>
  <si>
    <t xml:space="preserve"> 12.1.3</t>
  </si>
  <si>
    <t xml:space="preserve"> 12.1.4</t>
  </si>
  <si>
    <t>TORNEIRA CROMADA 1/2" OU 3/4" PARA TANQUE, PADRÃO MÉDIO - FORNECIMENTO E INSTALAÇÃO. AF_01/2020</t>
  </si>
  <si>
    <t>CARGA ADICIONAL DE GÁS REFRIGERANTE R32</t>
  </si>
  <si>
    <t>CAIXA DE PASSAGEM PARA INSTALAÇÃOD E AR CONDICIONADO  - FORNECIMENTO E INSTALAÇÃO</t>
  </si>
  <si>
    <t>Cabo de cobre PP 4 x 2,5 mm2, 1Kv - fornecimento e instalação</t>
  </si>
  <si>
    <t>VENEZIANA EXTERNA, COM TELA DE PROTEÇÃO E PINGADEIRA - DIMENSÕES DE 400X200MM</t>
  </si>
  <si>
    <t>GRELHA DE INSUFLAMENTO DE AR EM ALUMÍNIO ANODIZADO, DUPLA DEFLEXÃO, ALETAS HORIZONTAIS AJUSTÁVEIS INDIVIDUALMENTE, COM REGISTRO - DIMENSÕES DE 825X425MM.</t>
  </si>
  <si>
    <t>JOELHO 45 GRAUS, PVC, SERIE NORMAL, ESGOTO PREDIAL, DN 100 MM, JUNTA ELÁSTICA, FORNECIDO E INSTALADO EM SUBCOLETOR AÉREO DE ESGOTO SANITÁRIO. AF_08/2022</t>
  </si>
  <si>
    <t>CHAPA EM AÇO GALVANIZADO, REVESTIMENTO B (Z275), CRISTAIS NORMAIS - ESPESSURA #26 (0,50mm) - DIMENSÕES DE 1200X2000mm</t>
  </si>
  <si>
    <t>CHAPA EM AÇO GALVANIZADO, REVESTIMENTO B (Z275), CRISTAIS NORMAIS - ESPESSURA #24 (0,65mm) - DIMENSÕES DE 1200X2000mm</t>
  </si>
  <si>
    <t>CHAPA EM AÇO GALVANIZADO, REVESTIMENTO B (Z275), CRISTAIS NORMAIS - ESPESSURA #22 (0,80mm) - DIMENSÕES DE 1200X2000mm</t>
  </si>
  <si>
    <t>VENTILADOR AXIAL COM FILTROS G4+M5, VAZÃO DE AR DE 64 M³/H. REF: SICFLUX - SPLITVENT</t>
  </si>
  <si>
    <t>VENTILADOR HELICOCENTRÍFUGO EM LINHA SUPER SILENCE, VAZÃO DE AR DE 240 M³/H. PRESSÃO ESTÁTICA DISPONÍVEL DE 27MMCA. REF: SICFLUX - MAXX SUPER SILENCE 150</t>
  </si>
  <si>
    <t xml:space="preserve">GABINETE DE VENTILAÇÃO COM VENTILADOR SIROCCO DE DUPLA ASPIRAÇÃO, VAZÃO DE AR DE 5.151 M³/H, PRESSÃO ESTÁTICA DE 40MMCA, COM FILTROS G4+M5, COM AMORTECEDORES TIPO MOLA, COM LIGAÇÃO FLEXÍVEL DESCARGA CCOM FLANGE, PINTURA 100 VENTILADOR, PINTURA ELETROSTÁTICA DO GABINETE, PLACA DE IDENTIFICAÇÃO EM ALUMÍNIO, PROTEÇÃO CONTRA INTEMPÉRIES. REF: BERLINERLUFT - BBS355 </t>
  </si>
  <si>
    <t xml:space="preserve">GABINETE DE VENTILAÇÃO COM VENTILADOR SIROCCO DE DUPLA ASPIRAÇÃO, VAZÃO DE AR DE 8.627 M³/H, PRESSÃO ESTÁTICA DE 40MMCA, COM FILTROS G4+M5, COM AMORTECEDORES TIPO MOLA, COM LIGAÇÃO FLEXÍVEL DESCARGA CCOM FLANGE, PINTURA 100 VENTILADOR, PINTURA ELETROSTÁTICA DO GABINETE, PLACA DE IDENTIFICAÇÃO EM ALUMÍNIO, PROTEÇÃO CONTRA INTEMPÉRIES. REF: BERLINERLUFT - BBS355 </t>
  </si>
  <si>
    <t>18.1</t>
  </si>
  <si>
    <t>18.2</t>
  </si>
  <si>
    <t>VENTILADORES</t>
  </si>
  <si>
    <t>EXAUSTORES</t>
  </si>
  <si>
    <t>COIFAS</t>
  </si>
  <si>
    <t>COIFA PARA FORNO COM FILTRAGEM VORTEX DE 4 ESTÁGIOS, CONSTRUÍDA EM AÇO INOX, ESPESSURA MÍNIMA DE 0,94mm, COM TECNOLOGIA BACK FLOW, COM LUMINÁRIAS, COM CALHA PARA RECOLHIMENTO DE CONDENSADOS E DRENO ROSQUEADO, COLARINHO FLANGEADA COM ALTURA MÁXIMA DE 70mm - DIMENSÕES DE 1900X500X500mm. REF: MELTING COIFAS - MULTI VORTEX</t>
  </si>
  <si>
    <t>SISTEMA FIXO DE COMBATE E EXTINÇÃO DE INCÊNDIO PARA COZINHAS PROFISSIONAIS, AGENTE SAPONIFICANTE, COMPOSTO DOS SEGUINTES ITENS: CENTRAL DE ALARME, BATERIAS SELADAS DE 24VVC E 5AH, DETECTORES DE GÁS GN/ GLP, CONTATO SECO PARA INTERTRAVAMENTO, ACIONADOR MANUAL, CILINDRO DE AGENTE SAPONIFICANTE COM ACIONAMENTO MANUAL E AUTOMÁTICO PARA USO NA ÁREA DE COCÇÃO, DIFUSORES DE SAPONIFICANTE TIPO PULVERIZADOR, SENSORES TÉRMICOS DE 144°C, MANGUEIRAS DE ATUAÇÃO PARA CILINDROS DE SAPONIFICANTE, SUPORTE PARA OS CILINDROS, TUBULAÇÕES E CONEXÕES PARA BICOS DE SAPONIFICANTE EM AÇO INOX (Deverá ser instalado este sistema para as coifas CF-01 e CF-02). REF. JETFIRE</t>
  </si>
  <si>
    <t>COIFA DO TIPO PAREDE COM UM LADO LONGITUDINAL FECHADO, COM FILTRAGEM VORTEX DE 4 ESTÁGIOS, CONSTRUÍDA EM AÇO INOX, ESPESSURA MÍNIMA DE 0,94mm, COM TECNOLOGIA BACK FLOW, COM LUMINÁRIAS, COM CALHA PARA RECOLHIMENTO DE CONDENSADOS E DRENO ROSQUEADO, COLARINHO FLANGEADA COM ALTURA MÁXIMA DE 70mm - DIMENSÕES DE 2600X1300X500mm. REF: MELTING COIFAS - MULTI VORTEX</t>
  </si>
  <si>
    <t>COIFA DO TIPO ILHA DUPLA, COM FILTRAGEM VORTEX DE 4 ESTÁGIOS, CONSTRUÍDA EM AÇO INOX, ESPESSURA MÍNIMA DE 0,94mm, COM TECNOLOGIA BACK FLOW, COM LUMINÁRIAS, COM CALHA PARA RECOLHIMENTO DE CONDENSADOS E DRENO ROSQUEADO, COLARINHO FLANGEADA COM ALTURA MÁXIMA DE 70mm - DIMENSÕES DE 3900X1150X500mm. REF: MELTING COIFAS - MULTI VORTEX</t>
  </si>
  <si>
    <t xml:space="preserve">EXAUSTOR CENTRÍFUGO COM VENTILADOR LIMIT LOAD, SIMPLES ASPIRAÇÃO, VAZÃO DE AR DE 6.447 M³/H, PRESSÃO ESTÁTICA DE 55 MMCA, BASE ÚNICA, COM ANTICENTELHANTE AMCA C, CONSTRUÇÃO VEDADA/ SOLDADA E ESTANQUE, COM PORTA DE INSPEÇÃO, GAXETA DE VEDAÇÃO E DRENO, COM AMORTECEDORES DE VIBRAÇÃO TIPO MOLA. REF: BERLINERLUFT - GTS-4-560-RD0º </t>
  </si>
  <si>
    <t>EXAUSTOR CENTRÍFUGO COM VENTILADOR LIMIT LOAD, SIMPLES ASPIRAÇÃO, VAZÃO DE AR DE 10.333 M³/H, PRESSÃO ESTÁTICA DE 55 MMCA, BASE ÚNICA, COM ANTICENTELHANTE AMCA C, CONSTRUÇÃO VEDADA/ SOLDADA E ESTANQUE, COM PORTA DE INSPEÇÃO, GAXETA DE VEDAÇÃO E DRENO, COM AMORTECEDORES DE VIBRAÇÃO TIPO MOLA. REF: BERLINERLUFT - GTS-4-630-RD0º</t>
  </si>
  <si>
    <t>MÃO DE OBRA INSTALAÇÃO VENTILADORES E EXAUSTORES</t>
  </si>
  <si>
    <t>kg</t>
  </si>
  <si>
    <t>FITA DE ARQUEAR EM AÇO INOX - LARGURA 13MM - ESPESSURA 0,5MM - UTILIZADA PARA FIXAÇÃO E AMARRAÇÃO DE ISOLAMENTO EM DUTOS</t>
  </si>
  <si>
    <t>SELO METÁLICO EM AÇO INOX PARA FITA DE ARQUEAR - 1/2" - UTILIZADO PARA FIXAÇÃO DA FITA EM DUTOS</t>
  </si>
  <si>
    <t>PORTA DE INSPEÇÃO EM AÇO INOX - DIMENSÕES DE 400X150MM</t>
  </si>
  <si>
    <t>pç</t>
  </si>
  <si>
    <t xml:space="preserve">ISOLAMENTO TÉRMICO EM MANTA DE FIBRA CERÂMICA, ESPESSURA DE 50mm, DENSIDADE MÍNIMA DE 96 Kg/m³ </t>
  </si>
  <si>
    <t>ISOLAMENTO TÉRMICO EM MANTA DE ESPUMA ELASTOMÉRICA ESPESSURA DE 15mm, FACE EXTERNA ALUMINIZADA, PARA APLICAÇÃO EXTERNA DOS DUTOS SOBRE LAJE TÉCNICA</t>
  </si>
  <si>
    <t>JUNÇÃO SIMPLES, PVC, SERIE R, ÁGUA PLUVIAL, DN 150 X 100 MM, JUNTA ELÁSTICA, FORNECIDO E INSTALADO EM RAMAL DE ENCAMINHAMENTO. AF_06/2022</t>
  </si>
  <si>
    <t>CANTONEIRA EM INOX 1" X 1/8" BARRA COM 3 METROS</t>
  </si>
  <si>
    <t>ELETRODO INOXIDÁVEL TIPO E308L - Ø2,5MM - SOLDAGEM DE DUTOS EM AÇO INOX</t>
  </si>
  <si>
    <t xml:space="preserve">FIXAÇÃO EM LAJE DE CONCRETO DE DUTOS DE EXAUSTÃO COM VERGALHÃO (TIRANTE) COM ROSCA TOTAL Ø 1/4"X1000MM E PERFILADO </t>
  </si>
  <si>
    <t xml:space="preserve">FIXAÇÃO EM LAJE DE COBERTURA DE DUTOS DE EXAUSTÃO COM VERGALHÃO (TIRANTE) COM ROSCA TOTAL Ø 1/4"X1000MM E PERFILADO </t>
  </si>
  <si>
    <t>PISO EM CERÂMICA EXTRUDADA 30X30 - REF: GAIL KERAFLOOR CINZA CLARO (CÓD. IND 3080)</t>
  </si>
  <si>
    <t>Porcelanato Retificado – Idea Bianco Line - “A” – 30x60cm – Portobello ou equivalente</t>
  </si>
  <si>
    <t>MÃO DE OBRA INSTALAÇÃO COIFA</t>
  </si>
  <si>
    <t>CABO DE COBRE FLEXÍVEL ISOLADO, 1,5 MM², ANTI-CHAMA 450/750 V, PARA CIRCUITOS TERMINAIS - FORNECIMENTO E INSTALAÇÃO. AF_03/2023</t>
  </si>
  <si>
    <t>CABO DE COBRE FLEXÍVEL ISOLADO, 4 MM², ANTI-CHAMA 450/750 V, PARA CIRCUITOS TERMINAIS - FORNECIMENTO E INSTALAÇÃO. AF_03/2024</t>
  </si>
  <si>
    <t>CABO DE COBRE FLEXÍVEL ISOLADO, 10 MM², ANTI-CHAMA 450/750 V, PARA CIRCUITOS TERMINAIS - FORNECIMENTO E INSTALAÇÃO. AF_03/2023</t>
  </si>
  <si>
    <t>CABO DE COBRE FLEXÍVEL ISOLADO, 95 MM², ANTI-CHAMA 0,6/1,0 KV, PARA REDE ENTERRADA DE DISTRIBUIÇÃO DE ENERGIA ELÉTRICA - FORNECIMENTO E INSTALAÇÃO. AF_12/2021</t>
  </si>
  <si>
    <t>CABO DE COBRE FLEXÍVEL ISOLADO, 4 MM², ANTI-CHAMA 0,6/1,0 KV, PARA CIRCUITOS TERMINAIS - FORNECIMENTO E INSTALAÇÃO. AF_03/2023</t>
  </si>
  <si>
    <t>CABO DE COBRE FLEXÍVEL ISOLADO, 10 MM², ANTI-CHAMA 0,6/1,0 KV, PARA CIRCUITOS TERMINAIS - FORNECIMENTO E INSTALAÇÃO. AF_03/2023</t>
  </si>
  <si>
    <t>CABO DE COBRE FLEXÍVEL ISOLADO, 16 MM², ANTI-CHAMA 0,6/1,0 KV, PARA CIRCUITOS TERMINAIS - FORNECIMENTO E INSTALAÇÃO. AF_03/2023</t>
  </si>
  <si>
    <t>CABO DE COBRE FLEXÍVEL ISOLADO, 50 MM², ANTI-CHAMA 0,6/1,0 KV, PARA REDE ENTERRADA DE DISTRIBUIÇÃO DE ENERGIA ELÉTRICA - FORNECIMENTO E INSTALAÇÃO. AF_12/2021</t>
  </si>
  <si>
    <t>DISJUNTOR MONOPOLAR TIPO DIN, CORRENTE NOMINAL DE 16A - FORNECIMENTO E INSTALAÇÃO. AF_10/2020</t>
  </si>
  <si>
    <t>DISJUNTOR MONOPOLAR TIPO DIN, CORRENTE NOMINAL DE 10A - FORNECIMENTO E INSTALAÇÃO. AF_10/2020</t>
  </si>
  <si>
    <t>DISJUNTOR MONOPOLAR TIPO DIN, CORRENTE NOMINAL DE 25A - FORNECIMENTO E INSTALAÇÃO. AF_10/2020</t>
  </si>
  <si>
    <t>DISJUNTOR TRIPOLAR TIPO DIN, CORRENTE NOMINAL DE 20A - FORNECIMENTO E INSTALAÇÃO. AF_10/2020</t>
  </si>
  <si>
    <t>DISJUNTOR TRIPOLAR TIPO DIN, CORRENTE NOMINAL DE 16A - FORNECIMENTO E INSTALAÇÃO. AF_10/2020</t>
  </si>
  <si>
    <t>DISJUNTOR TRIPOLAR TIPO DIN, CORRENTE NOMINAL DE 25A - FORNECIMENTO E INSTALAÇÃO. AF_10/2020</t>
  </si>
  <si>
    <t>DISJUNTOR TRIPOLAR TIPO DIN, CORRENTE NOMINAL DE 32A - FORNECIMENTO E INSTALAÇÃO. AF_10/2020</t>
  </si>
  <si>
    <t>DISJUNTOR TRIPOLAR TIPO DIN, CORRENTE NOMINAL DE 50A - FORNECIMENTO E INSTALAÇÃO. AF_10/2020</t>
  </si>
  <si>
    <t>DISJUNTOR TRIPOLAR TIPO DIN, CORRENTE NOMINAL DE 80A - FORNECIMENTO E INSTALAÇÃO. AF_04/2016</t>
  </si>
  <si>
    <t>DISJUNTOR TERMOMAGNÉTICO TRIPOLAR , CORRENTE NOMINAL DE 160A - FORNECIMENTO E INSTALAÇÃO.(ORSE)</t>
  </si>
  <si>
    <t>DISJUNTOR TERMOMAGNÉTICO TRIPOLAR , CORRENTE NOMINAL DE 300A - FORNECIMENTO E INSTALAÇÃO.</t>
  </si>
  <si>
    <t>DISPOSITIVO DR, 2 POLOS, SENSIBILIDADE DE 30 MA, CORRENTE DE 40 A, TIPO AC - FORNECIMENTO E INSTALAÇÃO</t>
  </si>
  <si>
    <t>DISPOSITIVO DR, 4 POLOS, SENSIBILIDADE DE 30 MA, CORRENTE DE 63 A, TIPO AC - FORNECIMENTO E INSTALAÇÃO</t>
  </si>
  <si>
    <t>ELETRODUTO FLEXÍVEL CORRUGADO, PVC, DN 32 MM (1"), PARA CIRCUITOS TERMINAIS, INSTALADO EM PAREDE - FORNECIMENTO E INSTALAÇÃO. AF_03/2023</t>
  </si>
  <si>
    <t>ELETRODUTO FLEXÍVEL CORRUGADO, PEAD, DN 32 MM (1"), PARA CIRCUITOS TERMINAIS, INSTALADO EM FORRO - FORNECIMENTO E INSTALAÇÃO. AF_03/2023</t>
  </si>
  <si>
    <t>ELETRODUTO RÍGIDO ROSCÁVEL, PVC, DN 60 MM (2"), PARA REDE ENTERRADA DE DISTRIBUIÇÃO DE ENERGIA ELÉTRICA - FORNECIMENTO E INSTALAÇÃO. AF_12/2021</t>
  </si>
  <si>
    <t>CAIXA OCTOGONAL 4" X 4", PVC, INSTALADA EM LAJE - FORNECIMENTO E INSTALAÇÃO. AF_03/2023</t>
  </si>
  <si>
    <t>LUVA DE EMENDA PARA ELETRODUTO, AÇO GALVANIZADO, DN 20 MM (3/4''), APARENTE - FORNECIMENTO E INSTALAÇÃO. AF_10/2022</t>
  </si>
  <si>
    <t>INTERRUPTOR SIMPLES (2 MÓDULOS), 10A/250V, INCLUINDO SUPORTE E PLACA - FORNECIMENTO E INSTALAÇÃO. AF_03/2023</t>
  </si>
  <si>
    <t>TOMADA MÉDIA DE EMBUTIR (2 MÓDULOS), 2P+T 20 A, INCLUINDO SUPORTE E PLACA - FORNECIMENTO E INSTALAÇÃO. AF_03/2023</t>
  </si>
  <si>
    <t>TOMADA INDUSTRIAL BLINDADA 4P + T 63 A - FORNECIMENTO E INSTALAÇÃO</t>
  </si>
  <si>
    <t>PLACA PARA CAIXA 2X4 COM 1 FURO PARA PASSAGEM DE FIO - FORNECIMENTO E INSTALAÇÃO</t>
  </si>
  <si>
    <t>FORNECIMENTO E INSTALAÇÃO DE TAMPA DE ENCAIXE 100 X 3000 MM, GALVANIZADA À FOGO, PARA ELETROCALHA METÁLICA (ORSE)</t>
  </si>
  <si>
    <t>CURVA VERTICAL 100 X 50 MM PARA ELETROCALHA METÁLICA, COM ÂNGULO 45° - FORNECIMENTO E INSTALAÇÃO</t>
  </si>
  <si>
    <t>LUMINÁRIA ARANDELA TIPO TARTARUGA, DE SOBREPOR, COR PRETA, COM 1 LÂMPADA LED DE 6 W, SEM REATOR - FORNECIMENTO E INSTALAÇÃO. AF_09/2024</t>
  </si>
  <si>
    <t>Luminária de sobrepor EHT24-S4000830, hermética, 35W, 4320lm, 3000K - Lumicenter ou equivalente - completa - fornecimento e  instalação</t>
  </si>
  <si>
    <t xml:space="preserve"> 13.1.80</t>
  </si>
  <si>
    <t xml:space="preserve"> 13.1.81</t>
  </si>
  <si>
    <t xml:space="preserve"> 13.1.82</t>
  </si>
  <si>
    <t>QUADRO DE DISTRIBUIÇÃO EM CHAPA GALVANIZADA, SOBREPOR, COM BARRAMENTO TRIFÁSICO PARA DISJUNTOR DE 300A - DIMENSÕES: 750X400X125MM - FORNECIMENTO E INSTALAÇÃO</t>
  </si>
  <si>
    <t>QUADRO DE DISTRIBUIÇÃO EM CHAPA GALVANIZADA, SOBREPOR, COM BARRAMENTO TRIFÁSICO PARA DISJUNTOR DE 150A - DIMENSÕES: 750X400X125MM - FORNECIMENTO E INSTALAÇÃO</t>
  </si>
  <si>
    <t>QUADRO DE DISTRIBUIÇÃO EM CHAPA GALVANIZADA, SOBREPOR, COM BARRAMENTO TRIFÁSICO PARA DISJUNTOR DE 200A - DIMENSÕES: 750X475X125MM - FORNECIMENTO E INSTALAÇÃO</t>
  </si>
  <si>
    <t>PLUG MACHO 2P+T, ABNT,  DE EMBUTIR, 10 A COM RABICHO DE CABO PP 3x1,5mm², COM 1,5M.</t>
  </si>
  <si>
    <t xml:space="preserve"> 13.1.83</t>
  </si>
  <si>
    <t>REMOÇÃO DE LOUÇAS, DE FORMA MANUAL, SEM REAPROVEITAMENTO. AF_09/2023</t>
  </si>
  <si>
    <t>PAREDE COM SISTEMA EM CHAPAS DE GESSO RESISTENTE A UMIDADE (RU) PARA DRYWALL, USO INTERNO, COM DUAS FACES SIMPLES E ESTRUTURA METÁLICA COM GUIAS SIMPLES, SEM VÃOS.</t>
  </si>
  <si>
    <t>PAREDE COM SISTEMA EM CHAPAS DE GESSO RESISTENTE A UMIDADE (RU) PARA DRYWALL, USO INTERNO, COM DUAS FACES SIMPLES E ESTRUTURA METÁLICA COM GUIAS SIMPLES PARA PAREDES COM ÁREA LÍQUIDA MAIOR OU IGUAL A 6 M2, COM VÃOS.</t>
  </si>
  <si>
    <t>PAREDE COM SISTEMA EM CHAPAS DE GESSO STANDARD (ST) PARA DRYWALL, USO INTERNO, COM DUAS FACES SIMPLES E ESTRUTURA METÁLICA COM GUIAS SIMPLES, SEM VÃOS. AF_07/2023_PS</t>
  </si>
  <si>
    <t>PAREDE COM SISTEMA EM CHAPAS DE GESSO PARA DRYWALL, SENDO UMA FACE RESISTENTE A UMIDADE (RU) E OUTRA FACE RESISTENTE AO FOGO (RF), USO INTERNO, COM DUAS FACES SIMPLES E ESTRUTURA METÁLICA COM GUIAS SIMPLES PARA PAREDES COM ÁREA LÍQUIDA MAIOR OU IGUAL A 6 M2, COM VÃOS.</t>
  </si>
  <si>
    <t>PAREDE COM SISTEMA EM CHAPAS DE GESSO PARA DRYWALL, SENDO UMA FACE RESISTENTE A UMIDADE (RU) E OUTRA FACE STANDARD (ST), USO INTERNO, COM DUAS FACES SIMPLES E ESTRUTURA METÁLICA COM GUIAS SIMPLES PARA PAREDES COM ÁREA LÍQUIDA MAIOR OU IGUAL A 6 M2, COM VÃOS.</t>
  </si>
  <si>
    <t>PAREDE COM SISTEMA EM CHAPAS DE GESSO PARA DRYWALL, SENDO UMA FACE RESISTENTE A UMIDADE (RU) E OUTRA FACE STANDARD (ST), USO INTERNO, COM DUAS FACES SIMPLES E ESTRUTURA METÁLICA COM GUIAS SIMPLES, SEM VÃOS.</t>
  </si>
  <si>
    <t xml:space="preserve"> 4.9</t>
  </si>
  <si>
    <t xml:space="preserve"> 4.10</t>
  </si>
  <si>
    <t xml:space="preserve"> 4.11</t>
  </si>
  <si>
    <t xml:space="preserve"> 6.1</t>
  </si>
  <si>
    <t xml:space="preserve"> 6.2</t>
  </si>
  <si>
    <t>PISO EM CERÂMICA EXTRUDADA 30X30, REJUNTAMENTO EM EPÓXI - REF: GAIL KERAFLOOR CINZA CLARO (CÓD. IND 3080) - FORNECIMENTO E INSTALAÇÃO</t>
  </si>
  <si>
    <t xml:space="preserve"> 1.2.2</t>
  </si>
  <si>
    <t xml:space="preserve"> 1.2.3</t>
  </si>
  <si>
    <t xml:space="preserve"> 1.2.4</t>
  </si>
  <si>
    <t xml:space="preserve"> 1.2.5</t>
  </si>
  <si>
    <t>CHAPIM (PINGADEIRA) DE CONCRETO PRÉ-MOLDADO L = 20 CM, INCLUSIVE PINTURA ACRÍLICA - FORNECIMENTO E INSTALAÇÃO</t>
  </si>
  <si>
    <t>PINTURA LÁTEX ACRÍLICA PREMIUM, APLICAÇÃO MANUAL EM TETO, DUAS DEMÃOS. AF_04/2023  (COR SUVINIL BRANCO NEVE)</t>
  </si>
  <si>
    <t>ACABAMENTOS DE PISO</t>
  </si>
  <si>
    <t>SERRALHERIA</t>
  </si>
  <si>
    <t>15.1</t>
  </si>
  <si>
    <t>15.2</t>
  </si>
  <si>
    <t>15.3</t>
  </si>
  <si>
    <t>16.1</t>
  </si>
  <si>
    <t>16.1.1</t>
  </si>
  <si>
    <t>16.1.2</t>
  </si>
  <si>
    <t>16.1.3</t>
  </si>
  <si>
    <t>16.1.4</t>
  </si>
  <si>
    <t>16.1.5</t>
  </si>
  <si>
    <t>16.2</t>
  </si>
  <si>
    <t>16.2.1</t>
  </si>
  <si>
    <t>16.2.2</t>
  </si>
  <si>
    <t>16.2.3</t>
  </si>
  <si>
    <t>16.2.4</t>
  </si>
  <si>
    <t>16.3</t>
  </si>
  <si>
    <t>16.3.1</t>
  </si>
  <si>
    <t>16.3.2</t>
  </si>
  <si>
    <t>16.3.3</t>
  </si>
  <si>
    <t>16.4</t>
  </si>
  <si>
    <t>16.4.1</t>
  </si>
  <si>
    <t>16.4.2</t>
  </si>
  <si>
    <t>16.4.3</t>
  </si>
  <si>
    <t>16.4.4</t>
  </si>
  <si>
    <t>16.4.5</t>
  </si>
  <si>
    <t>16.4.6</t>
  </si>
  <si>
    <t>16.4.7</t>
  </si>
  <si>
    <t>16.4.8</t>
  </si>
  <si>
    <t>16.4.9</t>
  </si>
  <si>
    <t>16.4.10</t>
  </si>
  <si>
    <t>16.4.11</t>
  </si>
  <si>
    <t>16.4.12</t>
  </si>
  <si>
    <t>16.4.13</t>
  </si>
  <si>
    <t>16.4.14</t>
  </si>
  <si>
    <t>16.4.15</t>
  </si>
  <si>
    <t>16.4.16</t>
  </si>
  <si>
    <t>16.4.17</t>
  </si>
  <si>
    <t>16.4.18</t>
  </si>
  <si>
    <t>16.4.19</t>
  </si>
  <si>
    <t>16.4.20</t>
  </si>
  <si>
    <t>16.4.21</t>
  </si>
  <si>
    <t>16.4.22</t>
  </si>
  <si>
    <t>16.4.23</t>
  </si>
  <si>
    <t>16.4.24</t>
  </si>
  <si>
    <t>16.4.25</t>
  </si>
  <si>
    <t>16.5</t>
  </si>
  <si>
    <t>16.5.1</t>
  </si>
  <si>
    <t>16.5.2</t>
  </si>
  <si>
    <t>16.5.3</t>
  </si>
  <si>
    <t>16.5.4</t>
  </si>
  <si>
    <t>16.5.5</t>
  </si>
  <si>
    <t>16.5.6</t>
  </si>
  <si>
    <t>16.5.7</t>
  </si>
  <si>
    <t>16.5.8</t>
  </si>
  <si>
    <t>16.5.9</t>
  </si>
  <si>
    <t>16.5.10</t>
  </si>
  <si>
    <t>17.1</t>
  </si>
  <si>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</si>
  <si>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</si>
  <si>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</si>
  <si>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</si>
  <si>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</si>
  <si>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</si>
  <si>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</si>
  <si>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</si>
  <si>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</si>
  <si>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</si>
  <si>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</si>
  <si>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</si>
  <si>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</si>
  <si>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</si>
  <si>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</si>
  <si>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</si>
  <si>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</si>
  <si>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</si>
  <si>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</si>
  <si>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</si>
  <si>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</si>
  <si>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</si>
  <si>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</si>
  <si>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</si>
  <si>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</si>
  <si>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</si>
  <si>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</si>
  <si>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</si>
  <si>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</si>
  <si>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</si>
  <si>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</si>
  <si>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</si>
  <si>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</si>
  <si>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</si>
  <si>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</si>
  <si>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</si>
  <si>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</si>
  <si>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18.1.1</t>
  </si>
  <si>
    <t>18.1.2</t>
  </si>
  <si>
    <t>18.1.3</t>
  </si>
  <si>
    <t>18.2.1</t>
  </si>
  <si>
    <t>18.2.2</t>
  </si>
  <si>
    <t>18.2.3</t>
  </si>
  <si>
    <t>19.1</t>
  </si>
  <si>
    <t>19.1.1</t>
  </si>
  <si>
    <t>19.1.2</t>
  </si>
  <si>
    <t>19.1.3</t>
  </si>
  <si>
    <t>19.2</t>
  </si>
  <si>
    <t>19.2.2</t>
  </si>
  <si>
    <t>19.3</t>
  </si>
  <si>
    <t>19.3.1</t>
  </si>
  <si>
    <t>19.3.2</t>
  </si>
  <si>
    <t>19.3.3</t>
  </si>
  <si>
    <t>19.3.4</t>
  </si>
  <si>
    <t>19.4</t>
  </si>
  <si>
    <t>19.4.1</t>
  </si>
  <si>
    <t>19.4.2</t>
  </si>
  <si>
    <t>19.4.3</t>
  </si>
  <si>
    <t>19.4.4</t>
  </si>
  <si>
    <t>20.1</t>
  </si>
  <si>
    <t>18.2.4</t>
  </si>
  <si>
    <t>CLIMATIZAÇÃO</t>
  </si>
  <si>
    <t>19.5</t>
  </si>
  <si>
    <t>ELEVADOR MONTA-CARGA</t>
  </si>
  <si>
    <t>19.5.1</t>
  </si>
  <si>
    <t>ELEVADOR MONTA-CARGA, CAPACIDADE 300KG, PARA 2 PARADAS, ENCLAUSURADO EM CAIXA DE CORRIDA DE ALVENARIA</t>
  </si>
  <si>
    <t>mês</t>
  </si>
  <si>
    <t>QUADRO METÁLICO DE SOBREPOR - DIMENSÕES DE 400X400X250MM, PARA ACIONAMENTO DO EXAUSTOR E INTERTRAVAMENTO COM O GABINETE DE VENTILAÇÃO DE REPOSIÇÃO DE AR, ACIONAMENTO MANUAL ATRAVÉS DE CHAVE LIGA/ DESLIGA, COM INVERSOR DE FREQUENCIA 380V - 2,2KW</t>
  </si>
  <si>
    <t>QUADRO METÁLICO DE SOBREPOR - DIMENSÕES DE 400X400X250MM, PARA ACIONAMENTO DO EXAUSTOR E INTERTRAVAMENTO COM O GABINETE DE VENTILAÇÃO DE REPOSIÇÃO DE AR, ACIONAMENTO MANUAL ATRAVÉS DE CHAVE LIGA/ DESLIGA, COM INVERSOR DE FREQUENCIA 380V - 4,5KW</t>
  </si>
  <si>
    <t>ELETRODUTO FLEXÍVEL CORRUGADO, PEAD, DN 50 (1 1/2"), PARA REDE ENTERRADA DE DISTRIBUIÇÃO DE ENERGIA ELÉTRICA - FORNECIMENTO E INSTALAÇÃO. AF_12/2021</t>
  </si>
  <si>
    <t>CAIXA RETANGULAR 4" X 4" ALTA (2,00 M DO PISO), PVC, INSTALADA EM PAREDE - FORNECIMENTO E INSTALAÇÃO. AF_03/2023</t>
  </si>
  <si>
    <t>ELETRODUTO FLEXÍVEL CORRUGADO, PEAD, DN 32 MM (1"), PARA CIRCUITOS TERMINAIS, INSTALADO EM LAJE - FORNECIMENTO E INSTALAÇÃO. AF_03/2023</t>
  </si>
  <si>
    <t>CURVA 90 GRAUS PARA ELETRODUTO, PVC, ROSCÁVEL, DN 32 MM (1"), PARA CIRCUITOS TERMINAIS, INSTALADA EM PAREDE - FORNECIMENTO E INSTALAÇÃO. AF_03/2023</t>
  </si>
  <si>
    <t>ESPELHO / PLACA CEGA 4" X 4", PARA INSTALACAO DE TOMADAS E INTERRUPTORES - FORNECIMENTO E INSTALAÇÃO</t>
  </si>
  <si>
    <t>RACK FECHADO 12 U X 570 MM DE PAREDE COM PORTA FRONTAL ACRÍLICA COMPLETO - FORNECIMENTO E INSTALAÇÃO (ORSE)</t>
  </si>
  <si>
    <t>FORNECIMENTO E INSTALAÇÃO DE RACK 16U X 570 MM - 19"</t>
  </si>
  <si>
    <t>SWITCH CAT 6 48 PORTAS 1 U - FORNECIMENTO E INSTALAÇÃO (IOPES)</t>
  </si>
  <si>
    <t>CAIXA DE PASSAGEM ELETRICA EM PVC 25X20 CM DE EMBUTIR</t>
  </si>
  <si>
    <t>PLACA DE SINALIZACAO DE SEGURANCA CONTRA INCENDIO, FOTOLUMINESCENTE, RETANGULAR, *15 X 30* CM, EM PVC *2* MM ANTI-CHAMAS (SIMBOLOS, CORES E PICTOGRAMAS CONFORME NBR 13434) - FORNECIMENTO E INSTALAÇÃO</t>
  </si>
  <si>
    <t>PLACA DE LOTAÇÃO MÁXIMA, FOTOLUMINESCENTE, RETANGULAR, *20 X 40* CM, EM PVC *2* MM ANTI-CHAMAS (SIMBOLOS, CORES E PICTOGRAMAS CONFORME NBR 13434) - FORNECIMENTO E INSTALAÇÃO</t>
  </si>
  <si>
    <t>TUBO DE AÇO GALVANIZADO COM COSTURA, CLASSE MÉDIA, CONEXÃO ROSQUEADA, DN 15 (1/2"), INSTALADO EM RAMAIS E SUB-RAMAIS DE GÁS - FORNECIMENTO E INSTALAÇÃO. AF_10/2020</t>
  </si>
  <si>
    <t>TUBO DE AÇO GALVANIZADO COM COSTURA, CLASSE MÉDIA, CONEXÃO ROSQUEADA, DN 20 (3/4"), INSTALADO EM RAMAIS E SUB-RAMAIS DE GÁS - FORNECIMENTO E INSTALAÇÃO. AF_10/2020</t>
  </si>
  <si>
    <t>SISTEMA DE GÁS</t>
  </si>
  <si>
    <t>JOELHO 90 GRAUS, EM FERRO GALVANIZADO, CONEXÃO ROSQUEADA, DN 15 (1/2"), INSTALADO EM RAMAIS E SUB-RAMAIS DE GÁS - FORNECIMENTO E INSTALAÇÃO. AF_10/2020</t>
  </si>
  <si>
    <t>JOELHO 90 GRAUS, EM FERRO GALVANIZADO, CONEXÃO ROSQUEADA, DN 20 (3/4"), INSTALADO EM RAMAIS E SUB-RAMAIS DE GÁS - FORNECIMENTO E INSTALAÇÃO. AF_10/2020</t>
  </si>
  <si>
    <t>REGISTRO OU REGULADOR DE GÁS DE COZINHA - FORNECIMENTO E INSTALAÇÃO. AF_08/2021</t>
  </si>
  <si>
    <t>Válvula Solenóide de Controle, Corte e Bloqueio de Gás Liquefeito de Petróleo (GLP) e Gás GN (Gás Natural), Gás de Botijão, Encanado, Gás de Cozinha.</t>
  </si>
  <si>
    <t>VENTILAÇÃO PERMANENTE EM VENEZIANA DE ALUMINIO - FORNECIMENTO E INSTALAÇÃO</t>
  </si>
  <si>
    <t xml:space="preserve"> 14.4.2</t>
  </si>
  <si>
    <t xml:space="preserve"> 14.4.3</t>
  </si>
  <si>
    <t xml:space="preserve"> 14.4.4</t>
  </si>
  <si>
    <t xml:space="preserve"> 14.4.5</t>
  </si>
  <si>
    <t xml:space="preserve"> 14.4.6</t>
  </si>
  <si>
    <t xml:space="preserve"> 14.4.14</t>
  </si>
  <si>
    <t xml:space="preserve"> 14.4.15</t>
  </si>
  <si>
    <t xml:space="preserve"> 14.4.16</t>
  </si>
  <si>
    <t xml:space="preserve"> 14.4.17</t>
  </si>
  <si>
    <t xml:space="preserve"> 14.4.18</t>
  </si>
  <si>
    <t xml:space="preserve"> 14.3.2</t>
  </si>
  <si>
    <t>TUBO DE AÇO GALVANIZADO COM COSTURA, CLASSE MÉDIA, CONEXÃO ROSQUEADA, DN 25 (1"), INSTALADO EM RAMAIS E SUB-RAMAIS DE GÁS - FORNECIMENTO E INSTALAÇÃO. AF_10/2020</t>
  </si>
  <si>
    <t>Detector de Vazamento de Gás GLP e GN (Gás de Cozinha) com Sirene, Tensão 12/24Vcc e Saída Rele NA/NF, com fonte de alimentação 12V e conector P4</t>
  </si>
  <si>
    <t>FITAS FOTOUMINESCENTE NAS BORDAS DOS DEGRAUS E PATAMARES, L=7CM</t>
  </si>
  <si>
    <t>CURVA 90 GRAUS, PVC, SOLDÁVEL, DN 25MM, INSTALADO EM RAMAL OU SUB-RAMAL DE ÁGUA - FORNECIMENTO E INSTALAÇÃO. AF_06/2022</t>
  </si>
  <si>
    <t>CURVA 90 GRAUS, PVC, SOLDÁVEL, DN 32MM, INSTALADO EM RAMAL OU SUB-RAMAL DE ÁGUA - FORNECIMENTO E INSTALAÇÃO. AF_06/2022</t>
  </si>
  <si>
    <t>CURVA 45 GRAUS, PVC, SOLDÁVEL, DN 32MM, INSTALADO EM RAMAL OU SUB-RAMAL DE ÁGUA - FORNECIMENTO E INSTALAÇÃO. AF_06/2022</t>
  </si>
  <si>
    <t>LUVA DE CORRER, PVC, SOLDÁVEL, DN 25MM, INSTALADO EM RAMAL OU SUB-RAMAL DE ÁGUA - FORNECIMENTO E INSTALAÇÃO. AF_12/2014</t>
  </si>
  <si>
    <t xml:space="preserve"> 11.1.2</t>
  </si>
  <si>
    <t xml:space="preserve"> 11.1.3</t>
  </si>
  <si>
    <t xml:space="preserve"> 11.1.4</t>
  </si>
  <si>
    <t xml:space="preserve"> 11.1.5</t>
  </si>
  <si>
    <t xml:space="preserve"> 11.1.6</t>
  </si>
  <si>
    <t xml:space="preserve"> 11.1.7</t>
  </si>
  <si>
    <t xml:space="preserve"> 11.1.8</t>
  </si>
  <si>
    <t xml:space="preserve"> 11.1.9</t>
  </si>
  <si>
    <t xml:space="preserve"> 11.1.10</t>
  </si>
  <si>
    <t xml:space="preserve"> 11.1.11</t>
  </si>
  <si>
    <t xml:space="preserve"> 11.1.12</t>
  </si>
  <si>
    <t xml:space="preserve"> 11.1.13</t>
  </si>
  <si>
    <t xml:space="preserve"> 11.1.14</t>
  </si>
  <si>
    <t>JOELHO 90 GRAUS COM BUCHA DE LATÃO, PVC, SOLDÁVEL, DN 25MM, X 3/4 INSTALADO EM RAMAL OU SUB-RAMAL DE ÁGUA - FORNECIMENTO E INSTALAÇÃO. AF_06/2022</t>
  </si>
  <si>
    <t>TÊ COM BUCHA DE LATÃO NA BOLSA CENTRAL, PVC, SOLDÁVEL, DN 25MM X 1/2, INSTALADO EM RAMAL OU SUB-RAMAL DE ÁGUA - FORNECIMENTO E INSTALAÇÃO. AF_06/2022</t>
  </si>
  <si>
    <t>LUVA COM BUCHA DE LATÃO, PVC, SOLDÁVEL, DN 25MM X 3/4, INSTALADO EM RAMAL DE DISTRIBUIÇÃO DE ÁGUA - FORNECIMENTO E INSTALAÇÃO. AF_06/2022</t>
  </si>
  <si>
    <t xml:space="preserve"> 11.1.15</t>
  </si>
  <si>
    <t xml:space="preserve"> 11.1.16</t>
  </si>
  <si>
    <t xml:space="preserve"> 11.1.17</t>
  </si>
  <si>
    <t xml:space="preserve"> 11.1.18</t>
  </si>
  <si>
    <t xml:space="preserve"> 11.1.19</t>
  </si>
  <si>
    <t xml:space="preserve"> 11.1.20</t>
  </si>
  <si>
    <t xml:space="preserve"> 11.1.21</t>
  </si>
  <si>
    <t>JOELHO 90 GRAUS, PVC, SERIE NORMAL, ESGOTO PREDIAL, DN 100 MM, JUNTA ELÁSTICA, FORNECIDO E INSTALADO EM RAMAL DE DESCARGA OU RAMAL DE ESGOTO SANITÁRIO. AF_08/2022</t>
  </si>
  <si>
    <t>CURVA CURTA 90 GRAUS, PVC, SERIE NORMAL, ESGOTO PREDIAL, DN 50 MM, JUNTA ELÁSTICA, FORNECIDO E INSTALADO EM RAMAL DE DESCARGA OU RAMAL DE ESGOTO SANITÁRIO. AF_08/2022</t>
  </si>
  <si>
    <t>CURVA LONGA 45 GRAUS, PVC, SERIE NORMAL, ESGOTO PREDIAL, DN 50 MM, JUNTA ELÁSTICA, FORNECIDO E INSTALADO EM RAMAL DE DESCARGA OU RAMAL DE ESGOTO SANITÁRIO.</t>
  </si>
  <si>
    <t xml:space="preserve"> 11.2.1</t>
  </si>
  <si>
    <t xml:space="preserve"> 11.2.2</t>
  </si>
  <si>
    <t xml:space="preserve"> 11.2.3</t>
  </si>
  <si>
    <t xml:space="preserve"> 11.2.4</t>
  </si>
  <si>
    <t xml:space="preserve"> 11.2.5</t>
  </si>
  <si>
    <t xml:space="preserve"> 11.2.6</t>
  </si>
  <si>
    <t xml:space="preserve"> 11.2.7</t>
  </si>
  <si>
    <t xml:space="preserve"> 11.2.8</t>
  </si>
  <si>
    <t xml:space="preserve"> 11.2.9</t>
  </si>
  <si>
    <t xml:space="preserve"> 11.2.10</t>
  </si>
  <si>
    <t xml:space="preserve"> 11.2.11</t>
  </si>
  <si>
    <t xml:space="preserve"> 11.2.12</t>
  </si>
  <si>
    <t xml:space="preserve"> 11.2.13</t>
  </si>
  <si>
    <t xml:space="preserve"> 11.2.14</t>
  </si>
  <si>
    <t xml:space="preserve"> 11.2.15</t>
  </si>
  <si>
    <t xml:space="preserve"> 11.2.16</t>
  </si>
  <si>
    <t xml:space="preserve"> 11.2.17</t>
  </si>
  <si>
    <t xml:space="preserve"> 11.2.18</t>
  </si>
  <si>
    <t>JUNÇÃO DE REDUCAO INVERTIDA, PVC, SÉRIE NORMAL, ESGOTO PREDIAL, DN 100 X 75 MM, JUNTA ELÁSTICA, FORNECIDO E INSTALADO EM RAMAL DE DESCARGA OU RAMAL DE ESGOTO SANITÁRIO. AF_08/2022</t>
  </si>
  <si>
    <t xml:space="preserve"> 11.2.19</t>
  </si>
  <si>
    <t xml:space="preserve"> 11.2.20</t>
  </si>
  <si>
    <t xml:space="preserve"> 11.2.21</t>
  </si>
  <si>
    <t xml:space="preserve"> 11.2.22</t>
  </si>
  <si>
    <t xml:space="preserve"> 11.2.23</t>
  </si>
  <si>
    <t xml:space="preserve"> 11.2.24</t>
  </si>
  <si>
    <t>LUVA DE CORRER, PVC, SERIE NORMAL, ESGOTO PREDIAL, DN 50 MM, JUNTA ELÁSTICA, FORNECIDO E INSTALADO EM RAMAL DE DESCARGA OU RAMAL DE ESGOTO SANITÁRIO. AF_08/2022</t>
  </si>
  <si>
    <t>LUVA DE CORRER, PVC, SERIE NORMAL, ESGOTO PREDIAL, DN 100 MM, JUNTA ELÁSTICA, FORNECIDO E INSTALADO EM RAMAL DE DESCARGA OU RAMAL DE ESGOTO SANITÁRIO. AF_08/2022</t>
  </si>
  <si>
    <t xml:space="preserve"> 11.2.25</t>
  </si>
  <si>
    <t xml:space="preserve"> 11.2.26</t>
  </si>
  <si>
    <t xml:space="preserve"> 11.2.27</t>
  </si>
  <si>
    <t xml:space="preserve"> 11.2.28</t>
  </si>
  <si>
    <t xml:space="preserve"> 11.2.29</t>
  </si>
  <si>
    <t>TE, PVC, SOLDÁVEL, DN 32 MM, INSTALADO EM DRENO DE AR CONDICIONADO - FORNECIMENTO E INSTALAÇÃO. AF_08/2022</t>
  </si>
  <si>
    <t xml:space="preserve"> 11.2.30</t>
  </si>
  <si>
    <t xml:space="preserve"> 11.2.31</t>
  </si>
  <si>
    <t xml:space="preserve"> 11.2.32</t>
  </si>
  <si>
    <t xml:space="preserve"> 11.2.33</t>
  </si>
  <si>
    <t xml:space="preserve"> 11.2.34</t>
  </si>
  <si>
    <t xml:space="preserve"> 11.2.35</t>
  </si>
  <si>
    <t xml:space="preserve"> 11.2.36</t>
  </si>
  <si>
    <t xml:space="preserve"> 11.2.37</t>
  </si>
  <si>
    <t xml:space="preserve"> 11.2.38</t>
  </si>
  <si>
    <t xml:space="preserve"> 11.2.39</t>
  </si>
  <si>
    <t xml:space="preserve"> 11.2.40</t>
  </si>
  <si>
    <t xml:space="preserve"> 11.2.41</t>
  </si>
  <si>
    <t xml:space="preserve"> 11.2.42</t>
  </si>
  <si>
    <t xml:space="preserve"> 11.2.43</t>
  </si>
  <si>
    <t>CAIXA DE GORDURA ESPECIAL (CAPACIDADE: 5043 L), RETANGULAR, EM ALVENARIA COM BLOCOS DE CONCRETO, DIMENSÕES INTERNAS =2,05 x 4,10 m, ALTURA INTERNA = 0,60 M</t>
  </si>
  <si>
    <t>CAIXA DE GORDURA SIMPLES, CIRCULAR, EM CONCRETO PRÉ-MOLDADO, DIÂMETRO INTERNO = 0,4 M, ALTURA INTERNA = 0,4 M. AF_12/2020</t>
  </si>
  <si>
    <t>RALO HEMISFÉRICO EM FERRO FUNDIDO, TIPO ABACAXI Ø 100MM</t>
  </si>
  <si>
    <t>CAIXA SIFONADA, PVC, DN 150 X 185 X 75 MM, JUNTA ELÁSTICA, FORNECIDA E INSTALADA EM RAMAL DE DESCARGA OU EM RAMAL DE ESGOTO SANITÁRIO. AF_08/2022</t>
  </si>
  <si>
    <t>FIXAÇÃO DE TUBOS HORIZONTAIS DE PVC ÁGUA/PVC ESGOTO/PVC PLUVIAL/CPVC/PPR/COBRE OU AÇO, DIÂMETROS MENORES OU IGUAIS A 40 MM, COM ABRAÇADEIRA METÁLICA RÍGIDA TIPO D COM PARAFUSO DE FIXAÇÃO 1 1/4", FIXADA DIRETAMENTE NA LAJE OU PAREDE. AF_09/2023</t>
  </si>
  <si>
    <t>RASGO LINEAR MANUAL EM ALVENARIA, PARA RAMAIS/ DISTRIBUIÇÃO DE INSTALAÇÕES HIDRÁULICAS, DIÂMETROS MAIORES QUE 40 MM E MENORES OU IGUAIS A 75 MM. AF_09/2023</t>
  </si>
  <si>
    <t>CHUMBAMENTO LINEAR EM ALVENARIA PARA RAMAIS/DISTRIBUIÇÃO DE INSTALAÇÕES HIDRÁULICAS COM DIÂMETROS MAIORES QUE 40 MM E MENORES OU IGUAIS A 75 MM. AF_09/2023</t>
  </si>
  <si>
    <t xml:space="preserve"> 11.2.50</t>
  </si>
  <si>
    <t xml:space="preserve"> 11.2.51</t>
  </si>
  <si>
    <t xml:space="preserve"> 11.2.52</t>
  </si>
  <si>
    <t xml:space="preserve"> 11.2.53</t>
  </si>
  <si>
    <t xml:space="preserve"> 11.2.54</t>
  </si>
  <si>
    <t xml:space="preserve"> 11.2.55</t>
  </si>
  <si>
    <t xml:space="preserve"> 11.2.56</t>
  </si>
  <si>
    <t xml:space="preserve"> 11.2.57</t>
  </si>
  <si>
    <t xml:space="preserve"> 11.2.58</t>
  </si>
  <si>
    <t xml:space="preserve"> 7.2.5</t>
  </si>
  <si>
    <t xml:space="preserve"> 13.1.84</t>
  </si>
  <si>
    <t>ORSE - 03/2025 - Sergipe</t>
  </si>
  <si>
    <t>SETOP - 01/2025 - Minas Gerais</t>
  </si>
  <si>
    <t>CPOS/CDHU - 04/2025 - São Paulo</t>
  </si>
  <si>
    <t>FDE - 01/2025 - São Paulo</t>
  </si>
  <si>
    <t>EMOP - 04/2025 - Rio de Janeiro</t>
  </si>
  <si>
    <t>SIURB - 02/2025 - São Paulo</t>
  </si>
  <si>
    <t>EMBASA - 01/2025 - Bahia</t>
  </si>
  <si>
    <t xml:space="preserve">AGESUL - 01/2025 - Mato Grosso do Sul
</t>
  </si>
  <si>
    <t>AGETOP CIVIL - 02/2025 - Goiás</t>
  </si>
  <si>
    <t>SUDECAP - 01/2025 - Minas Gerais</t>
  </si>
  <si>
    <t>MÃO DE OBRA INSTALAÇÃO GABINETE DE VENTILAÇÃO COM FILTRO G4</t>
  </si>
  <si>
    <t>PATCH PANEL DESCARREGADO 48 PORTAS, 1U, CATEGORIA 6 - FORNECIMENTO E INSTALAÇÃO.</t>
  </si>
  <si>
    <t>PATCH CORD CAT6 AZUL 1,5M - FORNECIMENTO E INSTALAÇÃO</t>
  </si>
  <si>
    <t>17.39</t>
  </si>
  <si>
    <t>ELETRODUTO RIGIDO, EM ACO ZINCADO OU GALVANIZADO, TIPO LEVE, DN=3/4", APARENTE - FORNECIMENTO E INSTALAÇÃO. AF_10/2022</t>
  </si>
  <si>
    <t>17.40</t>
  </si>
  <si>
    <t>17.41</t>
  </si>
  <si>
    <t>CONECTOR MACHO RJ-45 CAT. 6 - FORNECIMENTO E INSTALAÇÃO</t>
  </si>
  <si>
    <t>PUXADOR TUBULAR RETO DUPLO EM ALUMINIO POLIDO DIAMETRO 1" COMPRIMENTO 40 CM</t>
  </si>
  <si>
    <t xml:space="preserve"> 10.1.2.4</t>
  </si>
  <si>
    <t>JANELA EM ALUMÍNIO FIXA, PERFIL 32, COM VIDRO TEMPERADO 10 MM INCOLOR COMPLETA - FORNECIMENTO E  INSTALAÇÃO</t>
  </si>
  <si>
    <t>PORTA EM ALUMÍNIO DE ABRIR, PERFIL 32, COM VENEZIANA E VIDRO TEMPERADO INCOLOR 10MM, COM GUARNIÇÃO, FIXAÇÃO COM PARAFUSOS - FORNECIMENTO E INSTALAÇÃO.</t>
  </si>
  <si>
    <t xml:space="preserve"> 8.2.5</t>
  </si>
  <si>
    <t>EMASSAMENTO COM MASSA LÁTEX, APLICAÇÃO EM TETO, UMA DEMÃO, LIXAMENTO MECANIZADO. AF_04/2023</t>
  </si>
  <si>
    <t>EMASSAMENTO COM MASSA LÁTEX, APLICAÇÃO EM TETO, DUAS DEMÃOS, LIXAMENTO MECANIZADO. AF_04/2023</t>
  </si>
  <si>
    <t xml:space="preserve"> 7.2.6</t>
  </si>
  <si>
    <t>EMASSAMENTO COM MASSA LÁTEX, APLICAÇÃO EM PAREDE, UMA DEMÃO, LIXAMENTO MECANIZADO. AF_04/2023</t>
  </si>
  <si>
    <t>EMASSAMENTO COM MASSA LÁTEX, APLICAÇÃO EM PAREDE, DUAS DEMÃOS, LIXAMENTO MECANIZADO. AF_04/2023</t>
  </si>
  <si>
    <t>CALHA DE BEIRAL EM CHAPA DE ALUMINIO E=0,4MM , DESENVOLVIMENTO 30 CM, COMPLETA - FORNECIMENTO E INSTALAÇÃO</t>
  </si>
  <si>
    <t>ENGENHEIRO CIVIL DE OBRA PLENO COM ENCARGOS COMPLEMENTARES (6 HORAS DIÁRIAS X 10 MESES)</t>
  </si>
  <si>
    <t>ENGENHEIRO ELETRICISTA JUNIOR COM ENCARGOS COMPLEMENTARES (3 HORAS DIÁRIAS X 10 MESES)</t>
  </si>
  <si>
    <t>ENGENHEIRO MECÂNICO COM ENCARGOS COMPLEMENTARES  (3 HORAS DIÁRIAS X 10 MESES)</t>
  </si>
  <si>
    <t>ESTRUTURA DE CONCRETO ARMADO</t>
  </si>
  <si>
    <t>TÉRREO - FUNDAÇÃO</t>
  </si>
  <si>
    <t>LASTRO COM MATERIAL GRANULAR (PEDRA BRITADA N.2), APLICADO EM PISOS OU LAJES SOBRE SOLO, ESPESSURA DE *10 CM*. AF_01/2024</t>
  </si>
  <si>
    <t>CAMADA SEPARADORA PARA EXECUÇÃO DE RADIER, PISO DE CONCRETO OU LAJE SOBRE SOLO, EM LONA PLÁSTICA. AF_09/2021</t>
  </si>
  <si>
    <t>FABRICAÇÃO, MONTAGEM E DESMONTAGEM DE FORMA PARA RADIER, PISO DE CONCRETO OU LAJE SOBRE SOLO, EM MADEIRA SERRADA, 4 UTILIZAÇÕES. AF_09/2021</t>
  </si>
  <si>
    <t>ARMAÇÃO DE LAJE DE ESTRUTURA CONVENCIONAL DE CONCRETO ARMADO UTILIZANDO AÇO CA-50 DE 8,0 MM - MONTAGEM. AF_06/2022</t>
  </si>
  <si>
    <t>CONCRETAGEM DE RADIER, PISO DE CONCRETO OU LAJE SOBRE SOLO, FCK 30 MPA - LANÇAMENTO, ADENSAMENTO E ACABAMENTO. AF_09/2021</t>
  </si>
  <si>
    <t xml:space="preserve"> 3.1.1</t>
  </si>
  <si>
    <t xml:space="preserve"> 3.1.2</t>
  </si>
  <si>
    <t xml:space="preserve"> 3.1.3</t>
  </si>
  <si>
    <t xml:space="preserve"> 3.1.4</t>
  </si>
  <si>
    <t xml:space="preserve"> 3.1.5</t>
  </si>
  <si>
    <t xml:space="preserve"> 3.1.6</t>
  </si>
  <si>
    <t>SUPERIOR (TETO DO TÉRREO)</t>
  </si>
  <si>
    <t>PILARES</t>
  </si>
  <si>
    <t>MONTAGEM E DESMONTAGEM DE FÔRMA DE PILARES RETANGULARES E ESTRUTURAS SIMILARES, PÉ-DIREITO SIMPLES, EM MADEIRA SERRADA, 4 UTILIZAÇÕES. AF_09/2020</t>
  </si>
  <si>
    <t>ARMAÇÃO DE PILAR OU VIGA DE ESTRUTURA CONVENCIONAL DE CONCRETO ARMADO UTILIZANDO AÇO CA-60 DE 5,0 MM - MONTAGEM. AF_06/2022</t>
  </si>
  <si>
    <t>ARMAÇÃO DE PILAR OU VIGA DE ESTRUTURA CONVENCIONAL DE CONCRETO ARMADO UTILIZANDO AÇO CA-50 DE 10,0 MM - MONTAGEM. AF_06/2022</t>
  </si>
  <si>
    <t>CONCRETAGEM DE PILARES, FCK = 30 MPA, COM USO DE BOMBA EM EDIFICAÇÃO COM SEÇÃO MÉDIA DE PILARES MENOR OU IGUAL A 0,25 M² - LANÇAMENTO, ADENSAMENTO E ACABAMENTO. AF_12/2015</t>
  </si>
  <si>
    <t xml:space="preserve"> 3.2 </t>
  </si>
  <si>
    <t xml:space="preserve"> 3.2.1</t>
  </si>
  <si>
    <t>3.2.1.1</t>
  </si>
  <si>
    <t>3.2.1.2</t>
  </si>
  <si>
    <t>3.2.1.3</t>
  </si>
  <si>
    <t>3.2.1.4</t>
  </si>
  <si>
    <t>VIGAS</t>
  </si>
  <si>
    <t>MONTAGEM E DESMONTAGEM DE FÔRMA DE VIGA, ESCORAMENTO COM PONTALETE DE MADEIRA, PÉ-DIREITO SIMPLES, EM MADEIRA SERRADA, 4 UTILIZAÇÕES. AF_09/2020</t>
  </si>
  <si>
    <t>CONCRETAGEM DE VIGAS E LAJES, FCK=30 MPA, PARA LAJES MACIÇAS OU NERVURADAS, LANÇAMENTO, ADENSAMENTO E ACABAMENTO. AF_12/2015</t>
  </si>
  <si>
    <t>LAJES</t>
  </si>
  <si>
    <t>MONTAGEM E DESMONTAGEM DE FÔRMA DE LAJE MACIÇA, PÉ-DIREITO SIMPLES, EM CHAPA DE MADEIRA COMPENSADA RESINADA E CIMBRAMENTO DE MADEIRA, 4 UTILIZAÇÕES. AF_03/2022</t>
  </si>
  <si>
    <t>ARMAÇÃO DE LAJE DE ESTRUTURA CONVENCIONAL DE CONCRETO ARMADO UTILIZANDO AÇO CA-50 DE 10,0 MM - MONTAGEM. AF_06/2022</t>
  </si>
  <si>
    <t xml:space="preserve"> 3.2.2</t>
  </si>
  <si>
    <t>3.2.2.1</t>
  </si>
  <si>
    <t>3.2.2.2</t>
  </si>
  <si>
    <t>3.2.2.3</t>
  </si>
  <si>
    <t>3.2.2.4</t>
  </si>
  <si>
    <t xml:space="preserve"> 3.2.3 </t>
  </si>
  <si>
    <t xml:space="preserve"> 3.2.3.1 </t>
  </si>
  <si>
    <t xml:space="preserve"> 3.2.3.2</t>
  </si>
  <si>
    <t xml:space="preserve"> 3.2.3.3</t>
  </si>
  <si>
    <t xml:space="preserve"> 3.2.3.4</t>
  </si>
  <si>
    <t>COBERTURA</t>
  </si>
  <si>
    <t>ARMAÇÃO DE LAJE DE ESTRUTURA CONVENCIONAL DE CONCRETO ARMADO UTILIZANDO AÇO CA-50 DE 6,3 MM - MONTAGEM. AF_06/2022</t>
  </si>
  <si>
    <t xml:space="preserve"> 3.3 </t>
  </si>
  <si>
    <t xml:space="preserve"> 3.3.1</t>
  </si>
  <si>
    <t>3.3.1.1</t>
  </si>
  <si>
    <t>3.3.1.2</t>
  </si>
  <si>
    <t>3.3.1.3</t>
  </si>
  <si>
    <t>3.3.1.4</t>
  </si>
  <si>
    <t xml:space="preserve"> 3.3.2</t>
  </si>
  <si>
    <t>3.3.2.1</t>
  </si>
  <si>
    <t>3.3.2.2</t>
  </si>
  <si>
    <t>3.3.2.3</t>
  </si>
  <si>
    <t>3.3.2.4</t>
  </si>
  <si>
    <t xml:space="preserve"> 3.3.3 </t>
  </si>
  <si>
    <t xml:space="preserve"> 3.3.3.1 </t>
  </si>
  <si>
    <t xml:space="preserve"> 3.3.3.2</t>
  </si>
  <si>
    <t xml:space="preserve"> 3.3.3.3</t>
  </si>
  <si>
    <t xml:space="preserve"> 3.3.3.4</t>
  </si>
  <si>
    <t>ALVENARIA DE VEDAÇÃO DE BLOCOS DE CONCRETO CELULAR DE 10X30X60CM (ESPESSURA 10CM) E ARGAMASSA DE ASSENTAMENTO COM PREPARO EM BETONEIRA. AF_05/2020</t>
  </si>
  <si>
    <t>ESTRUTURA METÁLICA COM LIGAÇÕES SOLDADAS, INCLUSOS PERFIS METÁLICOS, CHAPAS METÁLICAS, PINTURA DE PROTEÇÃO (ZARCÃO), MÃO DE OBRA E TRANSPORTE COM GUINDASTE - FORNECIMENTO E INSTALAÇÃO</t>
  </si>
  <si>
    <t>PINTURA COM TINTA EPOXÍDICA DE FUNDO PULVERIZADA SOBRE PERFIL METÁLICO EXECUTADO EM FÁBRICA, DUAS DEMÃOS, ESPESSURA DE 150MICRAS COM TINTA DE ACABAMENTO EM POLIURETANO ACRÍLICO DE DOIS COMPONENTES, ESPESSURA DE 70MICRAS - FORNECIMENTO E EXECUÇÃO</t>
  </si>
  <si>
    <t xml:space="preserve"> 5.2</t>
  </si>
  <si>
    <t xml:space="preserve"> 5.3</t>
  </si>
  <si>
    <t xml:space="preserve"> 5.3.1 </t>
  </si>
  <si>
    <t xml:space="preserve"> 5.3.2</t>
  </si>
  <si>
    <t xml:space="preserve"> 5.3.3</t>
  </si>
  <si>
    <t xml:space="preserve"> 11.2.59</t>
  </si>
  <si>
    <t xml:space="preserve"> 11.2.60</t>
  </si>
  <si>
    <t xml:space="preserve"> 11.2.61</t>
  </si>
  <si>
    <t xml:space="preserve"> 11.2.62</t>
  </si>
  <si>
    <t xml:space="preserve"> 11.2.63</t>
  </si>
  <si>
    <t xml:space="preserve"> 11.2.64</t>
  </si>
  <si>
    <t xml:space="preserve"> 11.2.65</t>
  </si>
  <si>
    <t>TE, PVC, SERIE NORMAL, ESGOTO PREDIAL, DN 75 X 75 MM, JUNTA ELÁSTICA, FORNECIDO E INSTALADO EM PRUMADA DE ESGOTO SANITÁRIO OU VENTILAÇÃO. AF_08/2022</t>
  </si>
  <si>
    <t>TE, PVC, SÉRIE NORMAL, ESGOTO PREDIAL, DN 100 X 50 MM, JUNTA ELÁSTICA, FORNECIDO E INSTALADO EM PRUMADA DE ESGOTO SANITÁRIO OU VENTILAÇÃO. AF_08/2022</t>
  </si>
  <si>
    <t>JUNÇÃO SIMPLES, PVC, SERIE NORMAL, ESGOTO PREDIAL, DN 75 X 75 MM, JUNTA ELÁSTICA, FORNECIDO E INSTALADO EM RAMAL DE DESCARGA OU RAMAL DE ESGOTO SANITÁRIO. AF_08/2022</t>
  </si>
  <si>
    <t>JUNÇÃO DE REDUÇÃO INVERTIDA, PVC, SÉRIE NORMAL, ESGOTO PREDIAL, DN 75 X 50 MM, JUNTA ELÁSTICA, FORNECIDO E INSTALADO EM RAMAL DE DESCARGA OU RAMAL DE ESGOTO SANITÁRIO. AF_08/2022</t>
  </si>
  <si>
    <t>JUNÇÃO SIMPLES, PVC, SERIE NORMAL, ESGOTO PREDIAL, DN 50 X 50 MM, JUNTA ELÁSTICA, FORNECIDO E INSTALADO EM RAMAL DE DESCARGA OU RAMAL DE ESGOTO SANITÁRIO. AF_08/2022</t>
  </si>
  <si>
    <t>REDUCAO EXCENTRICA PVC P/ ESG PREDIAL DN 100 X 50MM</t>
  </si>
  <si>
    <t>TUBO, PVC, SOLDÁVEL, DE 32MM, INSTALADO EM DRENO DE AR CONDICIONADO - FORNECIMENTO E INSTALAÇÃO. AF_08/2022</t>
  </si>
  <si>
    <t>CANALETA MEIA CANA PRÉ-MOLDADA DE CONCRETO (D = 30 CM) - FORNECIMENTO E INSTALAÇÃO. AF_08/2021</t>
  </si>
  <si>
    <t>GRELHA DE FERRO FUNDIDO SIMPLES COM REQUADRO, 300 X 1000 MM, ASSENTADA COM ARGAMASSA 1 : 3 CIMENTO: AREIA - FORNECIMENTO E INSTALAÇÃO. AF_08/2021</t>
  </si>
  <si>
    <t>RALO LINEAR 90CM, EM PVC COM GRELHA INOX, JUNTA SOLDÁVEL, FORNECIDO E INSTALADO EM RAMAL DE DESCARGA OU EM RAMAL DE ESGOTO SANITÁRIO.</t>
  </si>
  <si>
    <t>RALO LINEAR 70CM, EM PVC COM GRELHA INOX, JUNTA SOLDÁVEL, FORNECIDO E INSTALADO EM RAMAL DE DESCARGA OU EM RAMAL DE ESGOTO SANITÁRIO.</t>
  </si>
  <si>
    <t>RALO LINEAR 50CM, EM PVC COM GRELHA INOX, JUNTA SOLDÁVEL, FORNECIDO E INSTALADO EM RAMAL DE DESCARGA OU EM RAMAL DE ESGOTO SANITÁRIO.</t>
  </si>
  <si>
    <t>JOELHO 45 GRAUS, EM FERRO GALVANIZADO, DN 80 (3"), CONEXÃO ROSQUEADA, INSTALADO EM PRUMADAS - FORNECIMENTO E INSTALAÇÃO. AF_10/2020</t>
  </si>
  <si>
    <t>JOELHO 90 GRAUS, EM FERRO GALVANIZADO, DN 80 (3"), CONEXÃO ROSQUEADA, INSTALADO EM PRUMADAS - FORNECIMENTO E INSTALAÇÃO. AF_10/2020</t>
  </si>
  <si>
    <t>FORNECIMENTO E ASSENTAMENTO DE JUNÇÃO DE FERRO GALVANIZADO DE DN 3"</t>
  </si>
  <si>
    <t>TUBO DE AÇO GALVANIZADO COM COSTURA, CLASSE MÉDIA, DN 80 MM (3"), CONEXÃO ROSQUEADA, INSTALADO EM RESERVAÇÃO PREDIAL DE ÁGUA - FORNECIMENTO E INSTALAÇÃO. AF_04/2024</t>
  </si>
  <si>
    <t>FABRICAÇÃO E INSTALAÇÃO DE DUTO RETANGULAR PARA AR CONDICIONADO (TRECHO RETO) EM CHAPA DE AÇO CARBONO ESPESSURA 1.25MM</t>
  </si>
  <si>
    <t>CAIXA SIFONADA DE FERRO FUNDIDO DN 150X150X75MM COM GRELHA DE AÇO INOX COM FECHO ROTATIVO.</t>
  </si>
  <si>
    <t xml:space="preserve">CHAPÉU CIRCULAR DE DESCARGA VERTICAL CONSTRUÍDO EM CHAPA DE AÇO INOX #1,09MM - DIÂMETRO DE 550MM. </t>
  </si>
  <si>
    <t xml:space="preserve">CHAPÉU CIRCULAR DE DESCARGA VERTICAL CONSTRUÍDO EM CHAPA DE AÇO INOX #1,09MM - DIÂMETRO DE 650MM. </t>
  </si>
  <si>
    <t>AQUECEDOR DE ÁGUA A GÁS KOMECO KO 46 DI PRIME WIFI 46 LITROS - GLP</t>
  </si>
  <si>
    <t>SUPRESSÃO DE ÁRVORES COM DIAM. MAIOR DE 30CM</t>
  </si>
  <si>
    <t>LIMPEZA MANUAL DE VEGETAÇÃO EM TERRENO COM ENXADA. AF_03/2024</t>
  </si>
  <si>
    <t xml:space="preserve"> 2.1.14</t>
  </si>
  <si>
    <t xml:space="preserve"> 2.1.15</t>
  </si>
  <si>
    <t xml:space="preserve"> 3.4 </t>
  </si>
  <si>
    <t>ABRIGO DE GLP</t>
  </si>
  <si>
    <t xml:space="preserve"> 3.4.1 </t>
  </si>
  <si>
    <t xml:space="preserve"> 3.4.1.1 </t>
  </si>
  <si>
    <t xml:space="preserve"> 3.4.1.2 </t>
  </si>
  <si>
    <t xml:space="preserve"> 3.4.1.3 </t>
  </si>
  <si>
    <t xml:space="preserve"> 3.4.1.4 </t>
  </si>
  <si>
    <t xml:space="preserve"> 3.4.1.5 </t>
  </si>
  <si>
    <t>ARMAÇÃO DE LAJE DE ESTRUTURA CONVENCIONAL DE CONCRETO ARMADO UTILIZANDO AÇO CA-60 DE 4,2 MM - MONTAGEM. AF_06/2022</t>
  </si>
  <si>
    <t xml:space="preserve"> 3.4.1.6 </t>
  </si>
  <si>
    <t xml:space="preserve"> 3.4.1.7 </t>
  </si>
  <si>
    <t xml:space="preserve"> 3.4.1.8 </t>
  </si>
  <si>
    <t xml:space="preserve"> 3.4.2 </t>
  </si>
  <si>
    <t>COBERTURA - PILARES</t>
  </si>
  <si>
    <t xml:space="preserve"> 3.4.2.1 </t>
  </si>
  <si>
    <t xml:space="preserve"> 3.4.2.2 </t>
  </si>
  <si>
    <t xml:space="preserve"> 3.4.2.3 </t>
  </si>
  <si>
    <t xml:space="preserve"> 3.4.2.4 </t>
  </si>
  <si>
    <t xml:space="preserve"> 3.4.3 </t>
  </si>
  <si>
    <t>COBERTURA - LAJES</t>
  </si>
  <si>
    <t xml:space="preserve"> 3.4.3.1 </t>
  </si>
  <si>
    <t xml:space="preserve"> 3.4.3.2 </t>
  </si>
  <si>
    <t xml:space="preserve"> 3.4.3.3 </t>
  </si>
  <si>
    <t xml:space="preserve"> 3.4.3.4 </t>
  </si>
  <si>
    <t>LUVA, PVC, SOLDÁVEL, DN 25MM, INSTALADO EM RAMAL OU SUB-RAMAL DE ÁGUA - FORNECIMENTO E INSTALAÇÃO. AF_06/2022</t>
  </si>
  <si>
    <t>JOELHO 90 GRAUS COM BUCHA DE LATÃO, PVC, SOLDÁVEL, DN 25MM, X 1/2 INSTALADO EM RAMAL OU SUB-RAMAL DE ÁGUA - FORNECIMENTO E INSTALAÇÃO. AF_06/2022</t>
  </si>
  <si>
    <t>JOELHO 90 GRAUS COM BUCHA DE LATÃO, PVC, SOLDÁVEL, DN 32MM, X 3/4  INSTALADO EM RAMAL OU SUB-RAMAL DE ÁGUA - FORNECIMENTO E INSTALAÇÃO. AF_06/2022</t>
  </si>
  <si>
    <t>ADAPTADOR CURTO COM BOLSA E ROSCA PARA REGISTRO, PVC, SOLDÁVEL, DN 25MM X 3/4, INSTALADO EM RAMAL OU SUB-RAMAL DE ÁGUA - FORNECIMENTO E INSTALAÇÃO. AF_06/2022</t>
  </si>
  <si>
    <t>ADAPTADOR CURTO COM BOLSA E ROSCA PARA REGISTRO, PVC, SOLDÁVEL, DN 32MM X 1, INSTALADO EM RAMAL OU SUB-RAMAL DE ÁGUA - FORNECIMENTO E INSTALAÇÃO. AF_06/2022</t>
  </si>
  <si>
    <t>REGISTRO DE GAVETA BRUTO, LATÃO, ROSCÁVEL, 1" - FORNECIMENTO E INSTALAÇÃO. AF_08/2021</t>
  </si>
  <si>
    <t>m³xkm</t>
  </si>
  <si>
    <t xml:space="preserve"> 11.3 </t>
  </si>
  <si>
    <t>ÁGUA QUENTE</t>
  </si>
  <si>
    <t xml:space="preserve"> 11.3.1 </t>
  </si>
  <si>
    <t>TUBO, PPR, DN 25 MM, CLASSE PN 20, INSTALADO EM RESERVAÇÃO PREDIAL DE ÁGUA - FORNECIMENTO E INSTALAÇÃO. AF_04/2024</t>
  </si>
  <si>
    <t xml:space="preserve"> 11.3.2 </t>
  </si>
  <si>
    <t>TUBO, PPR, DN 32 MM, CLASSE PN 25, INSTALADO EM RESERVAÇÃO PREDIAL DE ÁGUA - FORNECIMENTO E INSTALAÇÃO. AF_04/2024</t>
  </si>
  <si>
    <t xml:space="preserve"> 11.3.3 </t>
  </si>
  <si>
    <t>LUVA, PPR, DN 25 MM, CLASSE PN 25, INSTALADO EM RAMAL OU SUB-RAMAL DE ÁGUA FORNECIMENTO E INSTALAÇÃO. AF_08/2022</t>
  </si>
  <si>
    <t xml:space="preserve"> 11.3.4 </t>
  </si>
  <si>
    <t>CURVA 90 GRAUS, PPR, DN 25 MM, INSTALADO EM RAMAL OU SUB-RAMAL DE ÁGUA - FORNECIMENTO E INSTALAÇÃO. AF_08/2022</t>
  </si>
  <si>
    <t xml:space="preserve"> 11.3.5 </t>
  </si>
  <si>
    <t>TÊ NORMAL, PPR, DN 25 MM, CLASSE PN 25, INSTALADO EM RAMAL OU SUB-RAMAL DE ÁGUA FORNECIMENTO E INSTALAÇÃO. AF_08/2022</t>
  </si>
  <si>
    <t xml:space="preserve"> 11.3.6 </t>
  </si>
  <si>
    <t>JOELHO 90 GRAUS, PPR, DN 25 MM, CLASSE PN 25, INSTALADO EM RAMAL OU SUB-RAMAL DE ÁGUA FORNECIMENTO E INSTALAÇÃO. AF_08/2022</t>
  </si>
  <si>
    <t xml:space="preserve"> 11.3.7 </t>
  </si>
  <si>
    <t>JOELHO 90 GRAUS, PPR, DN 32 MM, CLASSE PN 25, INSTALADO EM PRUMADA DE ÁGUA FORNECIMENTO E INSTALAÇÃO . AF_08/2022</t>
  </si>
  <si>
    <t xml:space="preserve"> 11.3.8 </t>
  </si>
  <si>
    <t>JOELHO DE TRANSIÇÃO, 90 GRAUS, CPVC, SOLDÁVEL, DN 22MM X 1/2", INSTALADO EM RAMAL OU SUB-RAMAL DE ÁGUA - FORNECIMENTO E INSTALAÇÃO. AF_06/2022</t>
  </si>
  <si>
    <t xml:space="preserve"> 11.3.9 </t>
  </si>
  <si>
    <t>ADAPTADOR DE TRANSIÇÃO F/M 25 mm x 3/4"</t>
  </si>
  <si>
    <t xml:space="preserve"> 11.3.10 </t>
  </si>
  <si>
    <t>CONECTOR EM BRONZE/LATÃO, DN 22 MM X 3/4", SEM ANEL DE SOLDA, BOLSA X ROSCA F, INSTALADO EM RAMAL DE DISTRIBUIÇÃO DE HIDRÁULICA PREDIAL - FORNECIMENTO E INSTALAÇÃO. AF_04/2022</t>
  </si>
  <si>
    <t xml:space="preserve"> 11.3.11 </t>
  </si>
  <si>
    <t xml:space="preserve"> 11.3.12 </t>
  </si>
  <si>
    <t xml:space="preserve"> 11.3.13 </t>
  </si>
  <si>
    <t xml:space="preserve"> 11.3.14 </t>
  </si>
  <si>
    <t>LUVA SOLDÁVEL E COM ROSCA, PVC, SOLDÁVEL, DN 25MM X 3/4, INSTALADO EM RAMAL OU SUB-RAMAL DE ÁGUA - FORNECIMENTO E INSTALAÇÃO. AF_06/2022</t>
  </si>
  <si>
    <t xml:space="preserve"> 11.3.15 </t>
  </si>
  <si>
    <t>CONECTOR FÊMEA, PPR, 32 X 1", CLASSE PN 25, INSTALADO EM RAMAL DE DISTRIBUIÇÃO DE ÁGUA FORNECIMENTO E INSTALAÇÃO. AF_08/2022</t>
  </si>
  <si>
    <t xml:space="preserve"> 11.3.16 </t>
  </si>
  <si>
    <t>JOELHO DE TRANSIÇÃO, 90 GRAUS, PPR, DN 25MM X 1/2", INSTALADO EM RAMAL OU SUB-RAMAL DE ÁGUA - FORNECIMENTO E INSTALAÇÃO. AF_06/2022</t>
  </si>
  <si>
    <t xml:space="preserve"> 11.3.17 </t>
  </si>
  <si>
    <t>MÃO DE OBRA INSTALAÇÃO AQUECEDOR DE PASSAGEM A GAS</t>
  </si>
  <si>
    <t xml:space="preserve"> 11.3.18 </t>
  </si>
  <si>
    <t>Fornecimento e instalação de Pressurizador PL20 da Lorenzetti ou equivalente</t>
  </si>
  <si>
    <t>MISTURADOR DE PAREDE BICA ALTA MÓVEL ACABAMENTO CROMADO - FORNECIMENTO E INSTALAÇÃO</t>
  </si>
  <si>
    <t xml:space="preserve"> 12.2.5</t>
  </si>
  <si>
    <t>ELETRODUTO RIGIDO, EM ACO ZINCADO OU GALVANIZADO, TIPO LEVE, DN=1", APARENTE - FORNECIMENTO E INSTALAÇÃO. AF_10/2022</t>
  </si>
  <si>
    <t>CONDULETE DE ALUMÍNIO, TIPO C, PARA ELETRODUTO DE AÇO GALVANIZADO DN 25 MM (1''), APARENTE - FORNECIMENTO E INSTALAÇÃO. AF_10/2022</t>
  </si>
  <si>
    <t>CONDULETE DE ALUMÍNIO, TIPO E, PARA ELETRODUTO DE AÇO GALVANIZADO DN 25 MM (1''), APARENTE - FORNECIMENTO E INSTALAÇÃO. AF_10/2022</t>
  </si>
  <si>
    <t>CONDULETE DE ALUMÍNIO, TIPO E, PARA ELETRODUTO DE AÇO GALVANIZADO DN 20 MM (3/4''), APARENTE - FORNECIMENTO E INSTALAÇÃO. AF_10/2022</t>
  </si>
  <si>
    <t>CONDULETE DE ALUMÍNIO, TIPO LL, PARA ELETRODUTO DE AÇO GALVANIZADO DN 25 MM (1''), APARENTE - FORNECIMENTO E INSTALAÇÃO. AF_10/2022</t>
  </si>
  <si>
    <t>TE  HORIZONTAL 90 PARA ELETROCALHA TIPO U 100 X 50 MM - FORNECIMENTO E INSTALAÇÃO (ORSE)</t>
  </si>
  <si>
    <t>CURVA  HORIZONTAL 90 PARA ELETROCALHA TIPO U 100 X 50 MM - FORNECIMENTO E INSTALAÇÃO (ORSE)</t>
  </si>
  <si>
    <t>Luminária de sobrepor EF74-S1200840, 12W, 1100lm, 4000K - Lumicenter ou equivalente - completa - Fornecimento e  instalação</t>
  </si>
  <si>
    <t>Luminária de embutir EF71-E1200830, 12W, 1200lm, 3000K - Lumicenter ou equivalente - completa - Fornecimento e  instalação</t>
  </si>
  <si>
    <t>Luminária de Embutir LED com difusor em acrílico leitoso. Corpo em chapa de aço tratada com pintura eletrostática microtexturizada.  Driver incluso. 4000k - 35W - 3770 lm Referência: LHT43-E4000840.  Marca: Lumicenter ou equivalente.  Cor:Branca.  Dimensões: 61,7x61,7x10,0 cm (LxPxA) - FORNECIMENTO E INSTALAÇÃO</t>
  </si>
  <si>
    <t>TUBO DE AÇO GALVANIZADO COM COSTURA, CLASSE MÉDIA, CONEXÃO ROSQUEADA, DN 32 (1 1/4"), INSTALADO EM REDE DE ALIMENTAÇÃO PARA SPRINKLER - FORNECIMENTO E INSTALAÇÃO. AF_10/2020</t>
  </si>
  <si>
    <t>TUBO DE AÇO GALVANIZADO COM COSTURA, CLASSE MÉDIA, CONEXÃO ROSQUEADA, DN 40 (1 1/2"), INSTALADO EM REDE DE ALIMENTAÇÃO PARA SPRINKLER - FORNECIMENTO E INSTALAÇÃO. AF_10/2020</t>
  </si>
  <si>
    <t>TUBO DE AÇO GALVANIZADO COM COSTURA, CLASSE MÉDIA, CONEXÃO ROSQUEADA, DN 50 (2"), INSTALADO EM REDE DE ALIMENTAÇÃO PARA SPRINKLER - FORNECIMENTO E INSTALAÇÃO. AF_10/2020</t>
  </si>
  <si>
    <t>JOELHO 45 GRAUS, EM FERRO GALVANIZADO, CONEXÃO ROSQUEADA, DN 15 (1/2"), INSTALADO EM RAMAIS E SUB-RAMAIS DE GÁS - FORNECIMENTO E INSTALAÇÃO. AF_10/2020</t>
  </si>
  <si>
    <t>JOELHO 90 GRAUS, EM FERRO GALVANIZADO, CONEXÃO ROSQUEADA, DN 25 (1"), INSTALADO EM RAMAIS E SUB-RAMAIS DE GÁS - FORNECIMENTO E INSTALAÇÃO. AF_10/2020</t>
  </si>
  <si>
    <t>JOELHO 90 GRAUS, EM FERRO GALVANIZADO, CONEXÃO ROSQUEADA, DN 32 (1 1/4"), INSTALADO EM REDE DE ALIMENTAÇÃO PARA SPRINKLER - FORNECIMENTO E INSTALAÇÃO. AF_10/2020</t>
  </si>
  <si>
    <t>TÊ, EM FERRO GALVANIZADO, CONEXÃO ROSQUEADA, DN 15 (1/2"), INSTALADO EM RAMAIS E SUB-RAMAIS DE GÁS - FORNECIMENTO E INSTALAÇÃO. AF_10/2020</t>
  </si>
  <si>
    <t>TÊ, EM FERRO GALVANIZADO, CONEXÃO ROSQUEADA, DN 20 (3/4"), INSTALADO EM RAMAIS E SUB-RAMAIS DE GÁS - FORNECIMENTO E INSTALAÇÃO. AF_10/2020</t>
  </si>
  <si>
    <t>TÊ DE REDUÇÃO, EM FERRO GALVANIZADO, CONEXÃO ROSQUEADA, DN 25 (1") X DN 15 (1/2"), INSTALADO EM RAMAIS E SUB-RAMAIS DE GÁS - FORNECIMENTO E INSTALAÇÃO.</t>
  </si>
  <si>
    <t>TÊ COM REDUÇÃO, EM FERRO GALVANIZADO, CONEXÃO ROSQUEADA, DN 32 (1 1/4") X 20 (3/4"), INSTALADO EM RAMAIS E SUB-RAMAIS DE GÁS - FORNECIMENTO E INSTALAÇÃO.</t>
  </si>
  <si>
    <t>LUVA, EM FERRO GALVANIZADO, CONEXÃO ROSQUEADA, DN 32 (1 1/4"), INSTALADO EM REDE DE ALIMENTAÇÃO PARA SPRINKLER - FORNECIMENTO E INSTALAÇÃO. AF_10/2020</t>
  </si>
  <si>
    <t>TÊ COM REDUÇÃO, EM FERRO GALVANIZADO, CONEXÃO ROSQUEADA, DN 40 (1 1/2") X 20 (3/4"), INSTALADO EM RAMAIS E SUB-RAMAIS DE GÁS - FORNECIMENTO E INSTALAÇÃO</t>
  </si>
  <si>
    <t>LUVA DE REDUÇÃO, EM FERRO GALVANIZADO, 1" X 1/2", CONEXÃO ROSQUEADA, INSTALADO EM REDE DE ALIMENTAÇÃO PARA SPRINKLER - FORNECIMENTO E INSTALAÇÃO. AF_10/2020</t>
  </si>
  <si>
    <t>TÊ COM REDUÇÃO, EM FERRO GALVANIZADO, CONEXÃO ROSQUEADA, DN 50 (2") X 32 (1.1/4"), INSTALADO EM RAMAIS E SUB-RAMAIS DE GÁS - FORNECIMENTO E INSTALAÇÃO.</t>
  </si>
  <si>
    <t>LUVA DE REDUÇÃO, EM FERRO GALVANIZADO, 1 1/4" X 1/2", CONEXÃO ROSQUEADA, INSTALADO EM REDE DE ALIMENTAÇÃO PARA SPRINKLER - FORNECIMENTO E INSTALAÇÃO. AF_10/2020</t>
  </si>
  <si>
    <t>LUVA DE REDUÇÃO, EM FERRO GALVANIZADO, 1 1/4" X 1", CONEXÃO ROSQUEADA, INSTALADO EM REDE DE ALIMENTAÇÃO PARA SPRINKLER - FORNECIMENTO E INSTALAÇÃO. AF_10/2020</t>
  </si>
  <si>
    <t>LUVA DE REDUÇÃO, EM FERRO GALVANIZADO, 1 1/2" X 3/4", CONEXÃO ROSQUEADA, INSTALADO EM REDE DE ALIMENTAÇÃO PARA HIDRANTE - FORNECIMENTO E INSTALAÇÃO. AF_10/2020</t>
  </si>
  <si>
    <t>LUVA DE REDUÇÃO, EM FERRO GALVANIZADO, 2" X 1 1/2", CONEXÃO ROSQUEADA, INSTALADO EM PRUMADAS - FORNECIMENTO E INSTALAÇÃO. AF_10/2020</t>
  </si>
  <si>
    <t>VÁLVULA DE ESFERA BRUTA, BRONZE, ROSCÁVEL, 2'' - FORNECIMENTO E INSTALAÇÃO. AF_08/2021</t>
  </si>
  <si>
    <t>PROTEÇÃO MECÂNICA DE SUPERFICIE HORIZONTAL COM CONCRETO 15 MPA, E=5CM. AF_09/2023</t>
  </si>
  <si>
    <t xml:space="preserve"> 14.4.19</t>
  </si>
  <si>
    <t xml:space="preserve"> 14.4.20</t>
  </si>
  <si>
    <t xml:space="preserve"> 14.4.21</t>
  </si>
  <si>
    <t xml:space="preserve"> 14.4.22</t>
  </si>
  <si>
    <t xml:space="preserve"> 14.4.23</t>
  </si>
  <si>
    <t xml:space="preserve"> 14.4.24</t>
  </si>
  <si>
    <t xml:space="preserve"> 14.4.25</t>
  </si>
  <si>
    <t xml:space="preserve"> 14.4.26</t>
  </si>
  <si>
    <t xml:space="preserve"> 14.4.27</t>
  </si>
  <si>
    <t xml:space="preserve"> 14.4.28</t>
  </si>
  <si>
    <t xml:space="preserve"> 14.4.29</t>
  </si>
  <si>
    <t xml:space="preserve"> 14.4.30</t>
  </si>
  <si>
    <t xml:space="preserve"> 14.4.31</t>
  </si>
  <si>
    <t>AQUECEDORES</t>
  </si>
  <si>
    <t>19.6</t>
  </si>
  <si>
    <t>19.6.1</t>
  </si>
  <si>
    <t>SINAPI - 052025 - Santa Catarina</t>
  </si>
  <si>
    <t>SBC - 06/2025 - Santa Catarina</t>
  </si>
  <si>
    <t>IOPES - 03/2025 - Espírito Santo</t>
  </si>
  <si>
    <t>REGULADOR DE PRESSÃO ESTÁGIO ÚNICO 12 KG/H - FORNECIMENTO E INSTALAÇÃO</t>
  </si>
  <si>
    <t>MANÔMETRO 0 A 200 PSI (0 A 14 KGF/CM2), D = 50MM - FORNECIMENTO E INSTALAÇÃO. AF_10/2020</t>
  </si>
  <si>
    <t>VÁLVULA DE ESFERA BRUTA, BRONZE, ROSCÁVEL, 1/2" - FORNECIMENTO E INSTALAÇÃO. AF_08/2021</t>
  </si>
  <si>
    <t>BUJÃO COM REBORDO, EM FERRO GALVANIZADO, CONEXÃO ROSQUEADA, DN 15 (1/2") - FORNECIMENTO E INSTALAÇÃO</t>
  </si>
  <si>
    <t xml:space="preserve"> 14.4.32</t>
  </si>
  <si>
    <t xml:space="preserve"> 14.4.33</t>
  </si>
  <si>
    <t xml:space="preserve"> 14.4.34</t>
  </si>
  <si>
    <t xml:space="preserve"> 14.4.35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</si>
</sst>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 #,##0.00_-;\-&quot;R$&quot;\ * #,##0.00_-;_-&quot;R$&quot;\ * &quot;-&quot;??_-;_-@_-"/>
    <numFmt numFmtId="43" formatCode="_-* #,##0.00_-;\-* #,##0.00_-;_-* &quot;-&quot;??_-;_-@_-"/>
    <numFmt numFmtId="164" formatCode="_-[$R$-416]\ * #,##0.00_-;\-[$R$-416]\ * #,##0.00_-;_-[$R$-416]\ * &quot;-&quot;??_-;_-@_-"/>
    <numFmt numFmtId="165" formatCode="#,##0.00;[Red]#,##0.00"/>
    <numFmt numFmtId="166" formatCode="0.00;[Red]0.00"/>
    <numFmt numFmtId="167" formatCode="_(* #,##0.00_);_(* \(#,##0.00\);_(* &quot;-&quot;??_);_(@_)"/>
  </numFmts>
  <fonts count="22" x14ac:knownFonts="1">
    <font>
      <sz val="11"/>
      <name val="Arial"/>
      <family val="1"/>
    </font>
    <font>
      <sz val="11"/>
      <color theme="1"/>
      <name val="Calibri"/>
      <family val="2"/>
      <scheme val="minor"/>
    </font>
    <font>
      <b/>
      <sz val="11"/>
      <name val="Arial"/>
      <family val="1"/>
    </font>
    <font>
      <b/>
      <sz val="10"/>
      <name val="Arial"/>
      <family val="1"/>
    </font>
    <font>
      <sz val="10"/>
      <name val="Arial"/>
      <family val="1"/>
    </font>
    <font>
      <sz val="11"/>
      <name val="Arial"/>
      <family val="1"/>
    </font>
    <font>
      <i/>
      <sz val="10"/>
      <name val="Arial"/>
      <family val="1"/>
    </font>
    <font>
      <sz val="7"/>
      <name val="Arial"/>
      <family val="2"/>
    </font>
    <font>
      <sz val="10"/>
      <name val="Arial"/>
      <family val="2"/>
    </font>
    <font>
      <b/>
      <sz val="7"/>
      <name val="Arial"/>
      <family val="2"/>
    </font>
    <font>
      <b/>
      <strike/>
      <sz val="7"/>
      <name val="Arial"/>
      <family val="2"/>
    </font>
    <font>
      <sz val="7"/>
      <color indexed="8"/>
      <name val="Arial"/>
      <family val="2"/>
    </font>
    <font>
      <sz val="8"/>
      <name val="Arial"/>
      <family val="2"/>
    </font>
    <font>
      <b/>
      <sz val="12"/>
      <name val="Arial"/>
      <family val="2"/>
    </font>
    <font>
      <sz val="9"/>
      <name val="Arial"/>
      <family val="2"/>
    </font>
    <font>
      <b/>
      <sz val="9"/>
      <name val="Arial"/>
      <family val="2"/>
    </font>
    <font>
      <sz val="9"/>
      <color indexed="12"/>
      <name val="Arial"/>
      <family val="2"/>
    </font>
    <font>
      <sz val="9"/>
      <name val="Calibri"/>
      <family val="2"/>
      <scheme val="minor"/>
    </font>
    <font>
      <sz val="8"/>
      <name val="Arial"/>
      <family val="1"/>
    </font>
    <font>
      <b/>
      <sz val="8"/>
      <name val="Arial"/>
      <family val="1"/>
    </font>
    <font>
      <sz val="9"/>
      <color indexed="81"/>
      <name val="Segoe UI"/>
      <family val="2"/>
    </font>
    <font>
      <b/>
      <sz val="9"/>
      <color indexed="81"/>
      <name val="Segoe UI"/>
      <family val="2"/>
    </font>
  </fonts>
  <fills count="21">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C0C0C0"/>
      </patternFill>
    </fill>
    <fill>
      <patternFill patternType="solid">
        <fgColor rgb="FFC0C0C0"/>
      </patternFill>
    </fill>
    <fill>
      <patternFill patternType="solid">
        <fgColor rgb="FFC0C0C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gray125">
        <bgColor rgb="FFFFFFFF"/>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22"/>
        <bgColor indexed="64"/>
      </patternFill>
    </fill>
  </fills>
  <borders count="75">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bottom style="thin">
        <color rgb="FFCCCCCC"/>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style="thin">
        <color rgb="FFCCCCCC"/>
      </right>
      <top/>
      <bottom style="thin">
        <color rgb="FFCCCCCC"/>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right style="hair">
        <color indexed="64"/>
      </right>
      <top/>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s>
  <cellStyleXfs count="10">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8" fillId="0" borderId="0"/>
    <xf numFmtId="167"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0" fontId="8" fillId="0" borderId="0"/>
  </cellStyleXfs>
  <cellXfs count="434">
    <xf numFmtId="0" fontId="0" fillId="0" borderId="0" xfId="0"/>
    <xf numFmtId="0" fontId="3" fillId="13" borderId="0" xfId="0" applyFont="1" applyFill="1" applyAlignment="1">
      <alignment vertical="top"/>
    </xf>
    <xf numFmtId="0" fontId="3" fillId="13" borderId="0" xfId="0" applyFont="1" applyFill="1" applyAlignment="1">
      <alignment vertical="top" wrapText="1"/>
    </xf>
    <xf numFmtId="0" fontId="4" fillId="13" borderId="0" xfId="0" applyFont="1" applyFill="1"/>
    <xf numFmtId="0" fontId="3" fillId="13" borderId="0" xfId="0" applyFont="1" applyFill="1" applyAlignment="1">
      <alignment horizontal="left" vertical="top"/>
    </xf>
    <xf numFmtId="0" fontId="3" fillId="13" borderId="0" xfId="0" applyFont="1" applyFill="1" applyAlignment="1">
      <alignment horizontal="center" vertical="top" wrapText="1"/>
    </xf>
    <xf numFmtId="0" fontId="3" fillId="0" borderId="0" xfId="0" applyFont="1" applyAlignment="1">
      <alignment horizontal="left" vertical="center" wrapText="1"/>
    </xf>
    <xf numFmtId="0" fontId="4" fillId="0" borderId="0" xfId="0" applyFont="1" applyAlignment="1">
      <alignment horizontal="left" vertical="center"/>
    </xf>
    <xf numFmtId="2" fontId="4" fillId="0" borderId="0" xfId="0" applyNumberFormat="1" applyFont="1" applyAlignment="1">
      <alignment horizontal="left" vertical="center"/>
    </xf>
    <xf numFmtId="165" fontId="4" fillId="0" borderId="0" xfId="0" applyNumberFormat="1" applyFont="1" applyAlignment="1">
      <alignment horizontal="left" vertical="center"/>
    </xf>
    <xf numFmtId="165" fontId="3" fillId="0" borderId="0" xfId="0" applyNumberFormat="1" applyFont="1" applyAlignment="1">
      <alignment horizontal="left" vertical="center"/>
    </xf>
    <xf numFmtId="0" fontId="4" fillId="0" borderId="0" xfId="0" applyFont="1" applyAlignment="1">
      <alignment horizontal="left" vertical="center" wrapText="1"/>
    </xf>
    <xf numFmtId="0" fontId="6" fillId="0" borderId="0" xfId="0" applyFont="1" applyAlignment="1">
      <alignment horizontal="left" vertical="center" wrapText="1"/>
    </xf>
    <xf numFmtId="2" fontId="6" fillId="0" borderId="0" xfId="0" applyNumberFormat="1" applyFont="1" applyAlignment="1">
      <alignment horizontal="left" vertical="center"/>
    </xf>
    <xf numFmtId="0" fontId="3" fillId="0" borderId="0" xfId="0" applyFont="1" applyAlignment="1">
      <alignment horizontal="left" vertical="center"/>
    </xf>
    <xf numFmtId="2" fontId="3" fillId="0" borderId="0" xfId="0" applyNumberFormat="1" applyFont="1" applyAlignment="1">
      <alignment horizontal="left" vertical="center"/>
    </xf>
    <xf numFmtId="44" fontId="3" fillId="0" borderId="0" xfId="2" applyFont="1" applyBorder="1" applyAlignment="1">
      <alignment horizontal="left" vertical="center"/>
    </xf>
    <xf numFmtId="0" fontId="4" fillId="0" borderId="0" xfId="0" applyFont="1" applyAlignment="1">
      <alignment horizontal="left"/>
    </xf>
    <xf numFmtId="0" fontId="4" fillId="0" borderId="0" xfId="0" applyFont="1" applyAlignment="1">
      <alignment wrapText="1"/>
    </xf>
    <xf numFmtId="0" fontId="3" fillId="14" borderId="0" xfId="0" applyFont="1" applyFill="1" applyAlignment="1">
      <alignment horizontal="left" vertical="center" wrapText="1"/>
    </xf>
    <xf numFmtId="0" fontId="3" fillId="14" borderId="0" xfId="0" applyFont="1" applyFill="1" applyAlignment="1">
      <alignment horizontal="left" vertical="center"/>
    </xf>
    <xf numFmtId="2" fontId="3" fillId="14" borderId="0" xfId="0" applyNumberFormat="1" applyFont="1" applyFill="1" applyAlignment="1">
      <alignment horizontal="left" vertical="center"/>
    </xf>
    <xf numFmtId="165" fontId="3" fillId="14" borderId="0" xfId="0" applyNumberFormat="1" applyFont="1" applyFill="1" applyAlignment="1">
      <alignment horizontal="left" vertical="center"/>
    </xf>
    <xf numFmtId="44" fontId="3" fillId="14" borderId="0" xfId="2" applyFont="1" applyFill="1" applyBorder="1" applyAlignment="1">
      <alignment horizontal="left" vertical="center"/>
    </xf>
    <xf numFmtId="0" fontId="4" fillId="0" borderId="0" xfId="0" applyFont="1"/>
    <xf numFmtId="0" fontId="3" fillId="19" borderId="0" xfId="0" applyFont="1" applyFill="1" applyAlignment="1">
      <alignment horizontal="left" vertical="center" wrapText="1"/>
    </xf>
    <xf numFmtId="0" fontId="3" fillId="19" borderId="0" xfId="0" applyFont="1" applyFill="1" applyAlignment="1">
      <alignment horizontal="left" vertical="center"/>
    </xf>
    <xf numFmtId="2" fontId="3" fillId="19" borderId="0" xfId="0" applyNumberFormat="1" applyFont="1" applyFill="1" applyAlignment="1">
      <alignment horizontal="left" vertical="center"/>
    </xf>
    <xf numFmtId="44" fontId="3" fillId="19" borderId="0" xfId="2" applyFont="1" applyFill="1" applyBorder="1" applyAlignment="1">
      <alignment horizontal="left" vertical="center"/>
    </xf>
    <xf numFmtId="0" fontId="4" fillId="19" borderId="0" xfId="0" applyFont="1" applyFill="1"/>
    <xf numFmtId="165" fontId="3" fillId="19" borderId="0" xfId="0" applyNumberFormat="1" applyFont="1" applyFill="1" applyAlignment="1">
      <alignment horizontal="left" vertical="center"/>
    </xf>
    <xf numFmtId="0" fontId="4" fillId="19" borderId="0" xfId="0" applyFont="1" applyFill="1" applyAlignment="1">
      <alignment horizontal="left"/>
    </xf>
    <xf numFmtId="0" fontId="8" fillId="0" borderId="0" xfId="0" applyFont="1" applyAlignment="1">
      <alignment horizontal="center" vertical="top"/>
    </xf>
    <xf numFmtId="0" fontId="8" fillId="0" borderId="0" xfId="0" applyFont="1"/>
    <xf numFmtId="0" fontId="8" fillId="0" borderId="0" xfId="0" applyFont="1" applyAlignment="1">
      <alignment horizontal="center"/>
    </xf>
    <xf numFmtId="165" fontId="0" fillId="0" borderId="0" xfId="0" applyNumberFormat="1"/>
    <xf numFmtId="165" fontId="7" fillId="0" borderId="0" xfId="0" applyNumberFormat="1" applyFont="1"/>
    <xf numFmtId="0" fontId="9" fillId="0" borderId="23" xfId="0" applyFont="1" applyBorder="1" applyAlignment="1">
      <alignment horizontal="center" vertical="top"/>
    </xf>
    <xf numFmtId="0" fontId="9" fillId="0" borderId="24" xfId="0" applyFont="1" applyBorder="1"/>
    <xf numFmtId="0" fontId="9" fillId="0" borderId="24" xfId="0" applyFont="1" applyBorder="1" applyAlignment="1">
      <alignment horizontal="center"/>
    </xf>
    <xf numFmtId="0" fontId="9" fillId="0" borderId="25" xfId="0" applyFont="1" applyBorder="1" applyAlignment="1">
      <alignment horizontal="center"/>
    </xf>
    <xf numFmtId="165" fontId="9" fillId="0" borderId="23" xfId="0" applyNumberFormat="1" applyFont="1" applyBorder="1"/>
    <xf numFmtId="165" fontId="9" fillId="0" borderId="24" xfId="0" applyNumberFormat="1" applyFont="1" applyBorder="1"/>
    <xf numFmtId="165" fontId="9" fillId="0" borderId="26" xfId="0" applyNumberFormat="1" applyFont="1" applyBorder="1"/>
    <xf numFmtId="0" fontId="9" fillId="0" borderId="0" xfId="0" applyFont="1"/>
    <xf numFmtId="0" fontId="9" fillId="0" borderId="27" xfId="0" applyFont="1" applyBorder="1" applyAlignment="1">
      <alignment horizontal="center" vertical="top"/>
    </xf>
    <xf numFmtId="0" fontId="9" fillId="0" borderId="19" xfId="0" applyFont="1" applyBorder="1"/>
    <xf numFmtId="0" fontId="9" fillId="0" borderId="19" xfId="0" applyFont="1" applyBorder="1" applyAlignment="1">
      <alignment horizontal="center"/>
    </xf>
    <xf numFmtId="0" fontId="9" fillId="0" borderId="28" xfId="0" applyFont="1" applyBorder="1" applyAlignment="1">
      <alignment horizontal="center"/>
    </xf>
    <xf numFmtId="165" fontId="9" fillId="0" borderId="29" xfId="0" applyNumberFormat="1" applyFont="1" applyBorder="1" applyAlignment="1">
      <alignment horizontal="left"/>
    </xf>
    <xf numFmtId="165" fontId="9" fillId="0" borderId="28" xfId="0" applyNumberFormat="1" applyFont="1" applyBorder="1" applyAlignment="1">
      <alignment horizontal="left"/>
    </xf>
    <xf numFmtId="165" fontId="9" fillId="0" borderId="28" xfId="0" applyNumberFormat="1" applyFont="1" applyBorder="1"/>
    <xf numFmtId="165" fontId="9" fillId="0" borderId="30" xfId="0" applyNumberFormat="1" applyFont="1" applyBorder="1"/>
    <xf numFmtId="165" fontId="7" fillId="0" borderId="0" xfId="0" applyNumberFormat="1" applyFont="1" applyAlignment="1">
      <alignment horizontal="centerContinuous"/>
    </xf>
    <xf numFmtId="0" fontId="9" fillId="0" borderId="21" xfId="0" applyFont="1" applyBorder="1" applyAlignment="1">
      <alignment horizontal="center"/>
    </xf>
    <xf numFmtId="0" fontId="9" fillId="0" borderId="31" xfId="0" applyFont="1" applyBorder="1" applyAlignment="1">
      <alignment horizontal="center"/>
    </xf>
    <xf numFmtId="165" fontId="9" fillId="0" borderId="27" xfId="0" applyNumberFormat="1" applyFont="1" applyBorder="1" applyAlignment="1">
      <alignment horizontal="left"/>
    </xf>
    <xf numFmtId="165" fontId="9" fillId="0" borderId="19" xfId="0" applyNumberFormat="1" applyFont="1" applyBorder="1" applyAlignment="1">
      <alignment horizontal="center" vertical="center" wrapText="1"/>
    </xf>
    <xf numFmtId="165" fontId="9" fillId="0" borderId="19" xfId="0" applyNumberFormat="1" applyFont="1" applyBorder="1" applyAlignment="1">
      <alignment horizontal="left"/>
    </xf>
    <xf numFmtId="165" fontId="9" fillId="0" borderId="32" xfId="0" applyNumberFormat="1" applyFont="1" applyBorder="1" applyAlignment="1">
      <alignment horizontal="center" vertical="center" wrapText="1"/>
    </xf>
    <xf numFmtId="0" fontId="9" fillId="0" borderId="33" xfId="0" applyFont="1" applyBorder="1" applyAlignment="1">
      <alignment horizontal="center" vertical="top" wrapText="1"/>
    </xf>
    <xf numFmtId="0" fontId="9" fillId="0" borderId="34" xfId="0" applyFont="1" applyBorder="1" applyAlignment="1">
      <alignment vertical="center" wrapText="1"/>
    </xf>
    <xf numFmtId="165" fontId="9" fillId="0" borderId="35" xfId="0" applyNumberFormat="1" applyFont="1" applyBorder="1" applyAlignment="1">
      <alignment horizontal="center" vertical="center" wrapText="1"/>
    </xf>
    <xf numFmtId="165" fontId="9" fillId="0" borderId="34" xfId="0" applyNumberFormat="1" applyFont="1" applyBorder="1" applyAlignment="1">
      <alignment horizontal="center" vertical="center" wrapText="1"/>
    </xf>
    <xf numFmtId="165" fontId="9" fillId="0" borderId="36" xfId="0" applyNumberFormat="1" applyFont="1" applyBorder="1" applyAlignment="1">
      <alignment horizontal="center" vertical="center" wrapText="1"/>
    </xf>
    <xf numFmtId="165" fontId="9" fillId="0" borderId="33" xfId="0" applyNumberFormat="1" applyFont="1" applyBorder="1" applyAlignment="1">
      <alignment horizontal="center" vertical="center" wrapText="1"/>
    </xf>
    <xf numFmtId="165" fontId="10" fillId="0" borderId="35" xfId="0" applyNumberFormat="1" applyFont="1" applyBorder="1" applyAlignment="1">
      <alignment horizontal="center" vertical="center" wrapText="1"/>
    </xf>
    <xf numFmtId="0" fontId="9" fillId="0" borderId="37" xfId="0" applyFont="1" applyBorder="1" applyAlignment="1">
      <alignment horizontal="center" vertical="top" wrapText="1"/>
    </xf>
    <xf numFmtId="0" fontId="9" fillId="0" borderId="38" xfId="0" applyFont="1" applyBorder="1" applyAlignment="1">
      <alignment vertical="center" wrapText="1"/>
    </xf>
    <xf numFmtId="165" fontId="9" fillId="0" borderId="39" xfId="0" applyNumberFormat="1" applyFont="1" applyBorder="1" applyAlignment="1">
      <alignment horizontal="center" vertical="center" wrapText="1"/>
    </xf>
    <xf numFmtId="165" fontId="9" fillId="0" borderId="38" xfId="0" applyNumberFormat="1" applyFont="1" applyBorder="1" applyAlignment="1">
      <alignment horizontal="center" vertical="center" wrapText="1"/>
    </xf>
    <xf numFmtId="165" fontId="9" fillId="0" borderId="40" xfId="0" applyNumberFormat="1" applyFont="1" applyBorder="1" applyAlignment="1">
      <alignment horizontal="center" vertical="center" wrapText="1"/>
    </xf>
    <xf numFmtId="165" fontId="9" fillId="0" borderId="37" xfId="0" applyNumberFormat="1" applyFont="1" applyBorder="1" applyAlignment="1">
      <alignment horizontal="center" vertical="center" wrapText="1"/>
    </xf>
    <xf numFmtId="165" fontId="10" fillId="0" borderId="39" xfId="0" applyNumberFormat="1" applyFont="1" applyBorder="1" applyAlignment="1">
      <alignment horizontal="center" vertical="center" wrapText="1"/>
    </xf>
    <xf numFmtId="0" fontId="9" fillId="0" borderId="41" xfId="0" applyFont="1" applyBorder="1" applyAlignment="1">
      <alignment horizontal="center" vertical="top" wrapText="1"/>
    </xf>
    <xf numFmtId="0" fontId="11" fillId="0" borderId="22" xfId="0" applyFont="1" applyBorder="1" applyAlignment="1">
      <alignment horizontal="left" vertical="top" wrapText="1"/>
    </xf>
    <xf numFmtId="165" fontId="7" fillId="0" borderId="22" xfId="0" applyNumberFormat="1" applyFont="1" applyBorder="1" applyAlignment="1">
      <alignment vertical="center" wrapText="1"/>
    </xf>
    <xf numFmtId="165" fontId="7" fillId="0" borderId="42" xfId="0" applyNumberFormat="1" applyFont="1" applyBorder="1" applyAlignment="1">
      <alignment vertical="center" wrapText="1"/>
    </xf>
    <xf numFmtId="165" fontId="7" fillId="0" borderId="23" xfId="0" applyNumberFormat="1" applyFont="1" applyBorder="1" applyAlignment="1">
      <alignment vertical="center" wrapText="1"/>
    </xf>
    <xf numFmtId="165" fontId="7" fillId="0" borderId="24" xfId="0" applyNumberFormat="1" applyFont="1" applyBorder="1" applyAlignment="1">
      <alignment vertical="center" wrapText="1"/>
    </xf>
    <xf numFmtId="10" fontId="7" fillId="0" borderId="26" xfId="3" applyNumberFormat="1" applyFont="1" applyBorder="1" applyAlignment="1">
      <alignment vertical="center" wrapText="1"/>
    </xf>
    <xf numFmtId="165" fontId="7" fillId="0" borderId="43" xfId="0" applyNumberFormat="1" applyFont="1" applyBorder="1" applyAlignment="1">
      <alignment vertical="center" wrapText="1"/>
    </xf>
    <xf numFmtId="10" fontId="7" fillId="0" borderId="22" xfId="3" applyNumberFormat="1" applyFont="1" applyBorder="1" applyAlignment="1">
      <alignment vertical="center" wrapText="1"/>
    </xf>
    <xf numFmtId="165" fontId="7" fillId="0" borderId="41" xfId="0" applyNumberFormat="1" applyFont="1" applyBorder="1" applyAlignment="1">
      <alignment vertical="center" wrapText="1"/>
    </xf>
    <xf numFmtId="10" fontId="7" fillId="0" borderId="44" xfId="3" applyNumberFormat="1" applyFont="1" applyBorder="1" applyAlignment="1">
      <alignment vertical="center" wrapText="1"/>
    </xf>
    <xf numFmtId="10" fontId="7" fillId="0" borderId="0" xfId="3" applyNumberFormat="1" applyFont="1"/>
    <xf numFmtId="0" fontId="9" fillId="18" borderId="27" xfId="0" applyFont="1" applyFill="1" applyBorder="1" applyAlignment="1">
      <alignment horizontal="center" vertical="top"/>
    </xf>
    <xf numFmtId="4" fontId="7" fillId="18" borderId="20" xfId="0" applyNumberFormat="1" applyFont="1" applyFill="1" applyBorder="1" applyAlignment="1">
      <alignment horizontal="right" vertical="top"/>
    </xf>
    <xf numFmtId="165" fontId="7" fillId="18" borderId="27" xfId="0" applyNumberFormat="1" applyFont="1" applyFill="1" applyBorder="1" applyAlignment="1">
      <alignment vertical="center" wrapText="1"/>
    </xf>
    <xf numFmtId="10" fontId="7" fillId="18" borderId="19" xfId="3" applyNumberFormat="1" applyFont="1" applyFill="1" applyBorder="1" applyAlignment="1">
      <alignment horizontal="right" vertical="top"/>
    </xf>
    <xf numFmtId="165" fontId="7" fillId="18" borderId="19" xfId="0" applyNumberFormat="1" applyFont="1" applyFill="1" applyBorder="1" applyAlignment="1">
      <alignment vertical="center" wrapText="1"/>
    </xf>
    <xf numFmtId="10" fontId="7" fillId="18" borderId="32" xfId="3" applyNumberFormat="1" applyFont="1" applyFill="1" applyBorder="1" applyAlignment="1">
      <alignment horizontal="right" vertical="top"/>
    </xf>
    <xf numFmtId="165" fontId="7" fillId="18" borderId="45" xfId="0" applyNumberFormat="1" applyFont="1" applyFill="1" applyBorder="1" applyAlignment="1">
      <alignment vertical="center" wrapText="1"/>
    </xf>
    <xf numFmtId="0" fontId="9" fillId="18" borderId="0" xfId="0" applyFont="1" applyFill="1"/>
    <xf numFmtId="10" fontId="7" fillId="18" borderId="0" xfId="3" applyNumberFormat="1" applyFont="1" applyFill="1"/>
    <xf numFmtId="4" fontId="11" fillId="0" borderId="19" xfId="0" applyNumberFormat="1" applyFont="1" applyBorder="1" applyAlignment="1">
      <alignment horizontal="right" vertical="top"/>
    </xf>
    <xf numFmtId="4" fontId="7" fillId="0" borderId="20" xfId="0" applyNumberFormat="1" applyFont="1" applyBorder="1" applyAlignment="1">
      <alignment horizontal="right" vertical="top"/>
    </xf>
    <xf numFmtId="165" fontId="7" fillId="0" borderId="27" xfId="0" applyNumberFormat="1" applyFont="1" applyBorder="1" applyAlignment="1">
      <alignment vertical="center" wrapText="1"/>
    </xf>
    <xf numFmtId="10" fontId="11" fillId="0" borderId="19" xfId="3" applyNumberFormat="1" applyFont="1" applyFill="1" applyBorder="1" applyAlignment="1">
      <alignment horizontal="right" vertical="top"/>
    </xf>
    <xf numFmtId="165" fontId="7" fillId="0" borderId="19" xfId="0" applyNumberFormat="1" applyFont="1" applyBorder="1" applyAlignment="1">
      <alignment vertical="center" wrapText="1"/>
    </xf>
    <xf numFmtId="10" fontId="7" fillId="0" borderId="32" xfId="3" applyNumberFormat="1" applyFont="1" applyFill="1" applyBorder="1" applyAlignment="1">
      <alignment horizontal="right" vertical="top"/>
    </xf>
    <xf numFmtId="165" fontId="7" fillId="0" borderId="45" xfId="0" applyNumberFormat="1" applyFont="1" applyBorder="1" applyAlignment="1">
      <alignment vertical="center" wrapText="1"/>
    </xf>
    <xf numFmtId="0" fontId="7" fillId="0" borderId="0" xfId="0" applyFont="1"/>
    <xf numFmtId="10" fontId="11" fillId="18" borderId="19" xfId="3" applyNumberFormat="1" applyFont="1" applyFill="1" applyBorder="1" applyAlignment="1">
      <alignment horizontal="right" vertical="top"/>
    </xf>
    <xf numFmtId="0" fontId="7" fillId="18" borderId="0" xfId="0" applyFont="1" applyFill="1"/>
    <xf numFmtId="0" fontId="9" fillId="0" borderId="27" xfId="0" applyFont="1" applyBorder="1" applyAlignment="1">
      <alignment vertical="top"/>
    </xf>
    <xf numFmtId="0" fontId="9" fillId="20" borderId="19" xfId="0" applyFont="1" applyFill="1" applyBorder="1"/>
    <xf numFmtId="165" fontId="9" fillId="20" borderId="20" xfId="0" applyNumberFormat="1" applyFont="1" applyFill="1" applyBorder="1" applyAlignment="1">
      <alignment horizontal="right"/>
    </xf>
    <xf numFmtId="165" fontId="9" fillId="20" borderId="28" xfId="0" applyNumberFormat="1" applyFont="1" applyFill="1" applyBorder="1" applyAlignment="1">
      <alignment horizontal="center"/>
    </xf>
    <xf numFmtId="4" fontId="11" fillId="0" borderId="27" xfId="0" applyNumberFormat="1" applyFont="1" applyBorder="1" applyAlignment="1">
      <alignment horizontal="right" vertical="top"/>
    </xf>
    <xf numFmtId="4" fontId="11" fillId="0" borderId="32" xfId="0" applyNumberFormat="1" applyFont="1" applyBorder="1" applyAlignment="1">
      <alignment horizontal="right" vertical="top"/>
    </xf>
    <xf numFmtId="4" fontId="11" fillId="0" borderId="45" xfId="0" applyNumberFormat="1" applyFont="1" applyBorder="1" applyAlignment="1">
      <alignment horizontal="right" vertical="top"/>
    </xf>
    <xf numFmtId="4" fontId="11" fillId="0" borderId="20" xfId="0" applyNumberFormat="1" applyFont="1" applyBorder="1" applyAlignment="1">
      <alignment horizontal="right" vertical="top"/>
    </xf>
    <xf numFmtId="0" fontId="7" fillId="0" borderId="27" xfId="0" applyFont="1" applyBorder="1" applyAlignment="1">
      <alignment vertical="top"/>
    </xf>
    <xf numFmtId="0" fontId="7" fillId="0" borderId="20" xfId="0" applyFont="1" applyBorder="1" applyAlignment="1">
      <alignment horizontal="center"/>
    </xf>
    <xf numFmtId="0" fontId="7" fillId="0" borderId="28" xfId="0" applyFont="1" applyBorder="1" applyAlignment="1">
      <alignment horizontal="center"/>
    </xf>
    <xf numFmtId="165" fontId="7" fillId="0" borderId="27" xfId="0" applyNumberFormat="1" applyFont="1" applyBorder="1"/>
    <xf numFmtId="165" fontId="7" fillId="0" borderId="19" xfId="0" applyNumberFormat="1" applyFont="1" applyBorder="1"/>
    <xf numFmtId="165" fontId="9" fillId="0" borderId="19" xfId="0" applyNumberFormat="1" applyFont="1" applyBorder="1"/>
    <xf numFmtId="10" fontId="9" fillId="0" borderId="32" xfId="3" applyNumberFormat="1" applyFont="1" applyFill="1" applyBorder="1"/>
    <xf numFmtId="165" fontId="7" fillId="0" borderId="45" xfId="0" applyNumberFormat="1" applyFont="1" applyBorder="1"/>
    <xf numFmtId="10" fontId="9" fillId="0" borderId="20" xfId="3" applyNumberFormat="1" applyFont="1" applyFill="1" applyBorder="1"/>
    <xf numFmtId="165" fontId="9" fillId="20" borderId="27" xfId="0" applyNumberFormat="1" applyFont="1" applyFill="1" applyBorder="1"/>
    <xf numFmtId="10" fontId="9" fillId="20" borderId="19" xfId="3" applyNumberFormat="1" applyFont="1" applyFill="1" applyBorder="1"/>
    <xf numFmtId="165" fontId="7" fillId="0" borderId="32" xfId="0" applyNumberFormat="1" applyFont="1" applyBorder="1"/>
    <xf numFmtId="165" fontId="9" fillId="20" borderId="45" xfId="0" applyNumberFormat="1" applyFont="1" applyFill="1" applyBorder="1"/>
    <xf numFmtId="165" fontId="7" fillId="0" borderId="20" xfId="0" applyNumberFormat="1" applyFont="1" applyBorder="1"/>
    <xf numFmtId="165" fontId="9" fillId="20" borderId="19" xfId="0" applyNumberFormat="1" applyFont="1" applyFill="1" applyBorder="1"/>
    <xf numFmtId="10" fontId="9" fillId="20" borderId="32" xfId="3" applyNumberFormat="1" applyFont="1" applyFill="1" applyBorder="1"/>
    <xf numFmtId="10" fontId="9" fillId="20" borderId="20" xfId="3" applyNumberFormat="1" applyFont="1" applyFill="1" applyBorder="1"/>
    <xf numFmtId="0" fontId="7" fillId="0" borderId="46" xfId="0" applyFont="1" applyBorder="1" applyAlignment="1">
      <alignment vertical="top"/>
    </xf>
    <xf numFmtId="0" fontId="9" fillId="0" borderId="21" xfId="0" applyFont="1" applyBorder="1"/>
    <xf numFmtId="0" fontId="7" fillId="0" borderId="47" xfId="0" applyFont="1" applyBorder="1" applyAlignment="1">
      <alignment horizontal="center"/>
    </xf>
    <xf numFmtId="0" fontId="7" fillId="0" borderId="48" xfId="0" applyFont="1" applyBorder="1" applyAlignment="1">
      <alignment horizontal="center"/>
    </xf>
    <xf numFmtId="165" fontId="7" fillId="0" borderId="46" xfId="0" applyNumberFormat="1" applyFont="1" applyBorder="1"/>
    <xf numFmtId="165" fontId="7" fillId="0" borderId="21" xfId="0" applyNumberFormat="1" applyFont="1" applyBorder="1"/>
    <xf numFmtId="165" fontId="9" fillId="0" borderId="21" xfId="0" applyNumberFormat="1" applyFont="1" applyBorder="1"/>
    <xf numFmtId="10" fontId="9" fillId="0" borderId="49" xfId="3" applyNumberFormat="1" applyFont="1" applyFill="1" applyBorder="1"/>
    <xf numFmtId="165" fontId="7" fillId="0" borderId="31" xfId="0" applyNumberFormat="1" applyFont="1" applyBorder="1"/>
    <xf numFmtId="10" fontId="9" fillId="0" borderId="47" xfId="3" applyNumberFormat="1" applyFont="1" applyFill="1" applyBorder="1"/>
    <xf numFmtId="10" fontId="7" fillId="0" borderId="0" xfId="3" applyNumberFormat="1" applyFont="1" applyFill="1"/>
    <xf numFmtId="165" fontId="9" fillId="0" borderId="46" xfId="0" applyNumberFormat="1" applyFont="1" applyBorder="1"/>
    <xf numFmtId="165" fontId="9" fillId="0" borderId="31" xfId="0" applyNumberFormat="1" applyFont="1" applyBorder="1"/>
    <xf numFmtId="0" fontId="7" fillId="0" borderId="33" xfId="0" applyFont="1" applyBorder="1" applyAlignment="1">
      <alignment horizontal="center" vertical="top"/>
    </xf>
    <xf numFmtId="0" fontId="7" fillId="0" borderId="35" xfId="0" applyFont="1" applyBorder="1"/>
    <xf numFmtId="0" fontId="7" fillId="0" borderId="34" xfId="0" applyFont="1" applyBorder="1" applyAlignment="1">
      <alignment horizontal="center"/>
    </xf>
    <xf numFmtId="0" fontId="7" fillId="0" borderId="50" xfId="0" applyFont="1" applyBorder="1" applyAlignment="1">
      <alignment horizontal="center"/>
    </xf>
    <xf numFmtId="165" fontId="7" fillId="0" borderId="33" xfId="0" applyNumberFormat="1" applyFont="1" applyBorder="1"/>
    <xf numFmtId="165" fontId="7" fillId="0" borderId="35" xfId="0" applyNumberFormat="1" applyFont="1" applyBorder="1"/>
    <xf numFmtId="165" fontId="7" fillId="0" borderId="36" xfId="0" applyNumberFormat="1" applyFont="1" applyBorder="1"/>
    <xf numFmtId="165" fontId="7" fillId="0" borderId="51" xfId="0" applyNumberFormat="1" applyFont="1" applyBorder="1"/>
    <xf numFmtId="165" fontId="7" fillId="0" borderId="34" xfId="0" applyNumberFormat="1" applyFont="1" applyBorder="1"/>
    <xf numFmtId="165" fontId="7" fillId="0" borderId="0" xfId="0" applyNumberFormat="1" applyFont="1" applyAlignment="1">
      <alignment horizontal="left" vertical="center"/>
    </xf>
    <xf numFmtId="0" fontId="7" fillId="0" borderId="52" xfId="0" applyFont="1" applyBorder="1" applyAlignment="1">
      <alignment horizontal="left" vertical="center"/>
    </xf>
    <xf numFmtId="4" fontId="7" fillId="0" borderId="52" xfId="0" applyNumberFormat="1" applyFont="1" applyBorder="1" applyAlignment="1">
      <alignment horizontal="left" vertical="center"/>
    </xf>
    <xf numFmtId="165" fontId="7" fillId="0" borderId="52" xfId="0" applyNumberFormat="1" applyFont="1" applyBorder="1" applyAlignment="1">
      <alignment horizontal="left" vertical="center"/>
    </xf>
    <xf numFmtId="165" fontId="7" fillId="0" borderId="53" xfId="0" applyNumberFormat="1" applyFont="1" applyBorder="1" applyAlignment="1">
      <alignment horizontal="left" vertical="center"/>
    </xf>
    <xf numFmtId="165" fontId="12" fillId="0" borderId="0" xfId="0" applyNumberFormat="1" applyFont="1"/>
    <xf numFmtId="0" fontId="12" fillId="0" borderId="0" xfId="0" applyFont="1"/>
    <xf numFmtId="0" fontId="7" fillId="0" borderId="0" xfId="0" applyFont="1" applyAlignment="1">
      <alignment horizontal="left" vertical="center"/>
    </xf>
    <xf numFmtId="0" fontId="7" fillId="0" borderId="54" xfId="0" applyFont="1" applyBorder="1" applyAlignment="1">
      <alignment horizontal="left" vertical="center"/>
    </xf>
    <xf numFmtId="4" fontId="7" fillId="0" borderId="54" xfId="0" applyNumberFormat="1" applyFont="1" applyBorder="1" applyAlignment="1">
      <alignment horizontal="left" vertical="center"/>
    </xf>
    <xf numFmtId="165" fontId="7" fillId="0" borderId="54" xfId="0" applyNumberFormat="1" applyFont="1" applyBorder="1" applyAlignment="1">
      <alignment horizontal="left" vertical="center"/>
    </xf>
    <xf numFmtId="165" fontId="7" fillId="0" borderId="55" xfId="0" applyNumberFormat="1" applyFont="1" applyBorder="1" applyAlignment="1">
      <alignment horizontal="left" vertical="center"/>
    </xf>
    <xf numFmtId="2" fontId="7" fillId="0" borderId="54" xfId="0" applyNumberFormat="1" applyFont="1" applyBorder="1" applyAlignment="1">
      <alignment horizontal="left" vertical="center"/>
    </xf>
    <xf numFmtId="165" fontId="12" fillId="0" borderId="56" xfId="0" applyNumberFormat="1" applyFont="1" applyBorder="1"/>
    <xf numFmtId="165" fontId="12" fillId="0" borderId="56" xfId="0" applyNumberFormat="1" applyFont="1" applyBorder="1" applyAlignment="1">
      <alignment horizontal="left" vertical="center"/>
    </xf>
    <xf numFmtId="0" fontId="13" fillId="0" borderId="0" xfId="0" applyFont="1" applyAlignment="1">
      <alignment vertical="top"/>
    </xf>
    <xf numFmtId="0" fontId="14" fillId="0" borderId="0" xfId="0" applyFont="1" applyAlignment="1">
      <alignment horizontal="center" vertical="top"/>
    </xf>
    <xf numFmtId="0" fontId="14" fillId="0" borderId="0" xfId="0" applyFont="1"/>
    <xf numFmtId="0" fontId="14" fillId="0" borderId="0" xfId="0" applyFont="1" applyAlignment="1">
      <alignment horizontal="center"/>
    </xf>
    <xf numFmtId="166" fontId="14" fillId="0" borderId="0" xfId="0" applyNumberFormat="1" applyFont="1"/>
    <xf numFmtId="0" fontId="15" fillId="0" borderId="0" xfId="0" applyFont="1" applyAlignment="1">
      <alignment horizontal="left" vertical="top"/>
    </xf>
    <xf numFmtId="165" fontId="16" fillId="0" borderId="0" xfId="0" applyNumberFormat="1" applyFont="1"/>
    <xf numFmtId="165" fontId="14" fillId="0" borderId="0" xfId="0" applyNumberFormat="1" applyFont="1"/>
    <xf numFmtId="49" fontId="14" fillId="0" borderId="0" xfId="0" applyNumberFormat="1" applyFont="1"/>
    <xf numFmtId="0" fontId="7" fillId="0" borderId="22" xfId="0" applyFont="1" applyBorder="1" applyAlignment="1">
      <alignment horizontal="left" vertical="top" wrapText="1"/>
    </xf>
    <xf numFmtId="10" fontId="7" fillId="0" borderId="24" xfId="3" applyNumberFormat="1" applyFont="1" applyBorder="1" applyAlignment="1">
      <alignment vertical="center" wrapText="1"/>
    </xf>
    <xf numFmtId="10" fontId="7" fillId="0" borderId="19" xfId="3" applyNumberFormat="1" applyFont="1" applyFill="1" applyBorder="1" applyAlignment="1">
      <alignment horizontal="right" vertical="top"/>
    </xf>
    <xf numFmtId="165" fontId="0" fillId="0" borderId="0" xfId="0" applyNumberFormat="1" applyAlignment="1">
      <alignment horizontal="center"/>
    </xf>
    <xf numFmtId="165" fontId="9" fillId="0" borderId="24" xfId="0" applyNumberFormat="1" applyFont="1" applyBorder="1" applyAlignment="1">
      <alignment horizontal="center"/>
    </xf>
    <xf numFmtId="10" fontId="7" fillId="0" borderId="24" xfId="3" applyNumberFormat="1" applyFont="1" applyBorder="1" applyAlignment="1">
      <alignment horizontal="center" vertical="center" wrapText="1"/>
    </xf>
    <xf numFmtId="10" fontId="7" fillId="18" borderId="19" xfId="3" applyNumberFormat="1" applyFont="1" applyFill="1" applyBorder="1" applyAlignment="1">
      <alignment horizontal="center" vertical="top"/>
    </xf>
    <xf numFmtId="10" fontId="11" fillId="0" borderId="19" xfId="3" applyNumberFormat="1" applyFont="1" applyFill="1" applyBorder="1" applyAlignment="1">
      <alignment horizontal="center" vertical="top"/>
    </xf>
    <xf numFmtId="4" fontId="11" fillId="0" borderId="19" xfId="0" applyNumberFormat="1" applyFont="1" applyBorder="1" applyAlignment="1">
      <alignment horizontal="center" vertical="top"/>
    </xf>
    <xf numFmtId="165" fontId="7" fillId="0" borderId="19" xfId="0" applyNumberFormat="1" applyFont="1" applyBorder="1" applyAlignment="1">
      <alignment horizontal="center"/>
    </xf>
    <xf numFmtId="10" fontId="9" fillId="20" borderId="19" xfId="3" applyNumberFormat="1" applyFont="1" applyFill="1" applyBorder="1" applyAlignment="1">
      <alignment horizontal="center"/>
    </xf>
    <xf numFmtId="165" fontId="7" fillId="0" borderId="20" xfId="0" applyNumberFormat="1" applyFont="1" applyBorder="1" applyAlignment="1">
      <alignment horizontal="center"/>
    </xf>
    <xf numFmtId="165" fontId="7" fillId="0" borderId="21" xfId="0" applyNumberFormat="1" applyFont="1" applyBorder="1" applyAlignment="1">
      <alignment horizontal="center"/>
    </xf>
    <xf numFmtId="165" fontId="7" fillId="0" borderId="35" xfId="0" applyNumberFormat="1" applyFont="1" applyBorder="1" applyAlignment="1">
      <alignment horizontal="center"/>
    </xf>
    <xf numFmtId="0" fontId="12" fillId="0" borderId="0" xfId="0" applyFont="1" applyAlignment="1">
      <alignment horizontal="center"/>
    </xf>
    <xf numFmtId="0" fontId="13" fillId="0" borderId="0" xfId="0" applyFont="1" applyAlignment="1">
      <alignment horizontal="center" vertical="top"/>
    </xf>
    <xf numFmtId="0" fontId="15" fillId="0" borderId="0" xfId="0" applyFont="1" applyAlignment="1">
      <alignment horizontal="center" vertical="top"/>
    </xf>
    <xf numFmtId="49" fontId="12" fillId="0" borderId="0" xfId="0" applyNumberFormat="1" applyFont="1" applyAlignment="1">
      <alignment horizontal="center"/>
    </xf>
    <xf numFmtId="165" fontId="16" fillId="0" borderId="0" xfId="0" applyNumberFormat="1" applyFont="1" applyAlignment="1">
      <alignment horizontal="center"/>
    </xf>
    <xf numFmtId="0" fontId="7" fillId="18" borderId="22" xfId="0" applyFont="1" applyFill="1" applyBorder="1" applyAlignment="1">
      <alignment horizontal="left" vertical="top" wrapText="1"/>
    </xf>
    <xf numFmtId="4" fontId="7" fillId="18" borderId="19" xfId="0" applyNumberFormat="1" applyFont="1" applyFill="1" applyBorder="1" applyAlignment="1">
      <alignment horizontal="right" vertical="top"/>
    </xf>
    <xf numFmtId="4" fontId="7" fillId="0" borderId="19" xfId="0" applyNumberFormat="1" applyFont="1" applyBorder="1" applyAlignment="1">
      <alignment horizontal="right" vertical="top"/>
    </xf>
    <xf numFmtId="10" fontId="7" fillId="0" borderId="19" xfId="3" applyNumberFormat="1" applyFont="1" applyFill="1" applyBorder="1" applyAlignment="1">
      <alignment horizontal="center" vertical="top"/>
    </xf>
    <xf numFmtId="0" fontId="3" fillId="7" borderId="0" xfId="0" applyFont="1" applyFill="1" applyAlignment="1">
      <alignment horizontal="left" vertical="top" wrapText="1"/>
    </xf>
    <xf numFmtId="0" fontId="18" fillId="0" borderId="0" xfId="0" applyFont="1"/>
    <xf numFmtId="4" fontId="3" fillId="0" borderId="0" xfId="0" applyNumberFormat="1" applyFont="1" applyAlignment="1">
      <alignment horizontal="left" vertical="center"/>
    </xf>
    <xf numFmtId="0" fontId="18" fillId="19" borderId="0" xfId="0" applyFont="1" applyFill="1"/>
    <xf numFmtId="4" fontId="3" fillId="19" borderId="0" xfId="0" applyNumberFormat="1" applyFont="1" applyFill="1" applyAlignment="1">
      <alignment horizontal="left" vertical="center"/>
    </xf>
    <xf numFmtId="44" fontId="4" fillId="0" borderId="0" xfId="2" applyFont="1" applyBorder="1" applyAlignment="1">
      <alignment horizontal="left"/>
    </xf>
    <xf numFmtId="0" fontId="2" fillId="4" borderId="1" xfId="0" applyFont="1" applyFill="1" applyBorder="1" applyAlignment="1">
      <alignment horizontal="center" vertical="top" wrapText="1"/>
    </xf>
    <xf numFmtId="0" fontId="3" fillId="5" borderId="2" xfId="0" applyFont="1" applyFill="1" applyBorder="1" applyAlignment="1">
      <alignment horizontal="left" vertical="top" wrapText="1"/>
    </xf>
    <xf numFmtId="0" fontId="3" fillId="18" borderId="2" xfId="0" applyFont="1" applyFill="1" applyBorder="1" applyAlignment="1">
      <alignment horizontal="left" vertical="top" wrapText="1"/>
    </xf>
    <xf numFmtId="164" fontId="4" fillId="11" borderId="8" xfId="0" applyNumberFormat="1" applyFont="1" applyFill="1" applyBorder="1" applyAlignment="1">
      <alignment horizontal="right" vertical="top" wrapText="1"/>
    </xf>
    <xf numFmtId="164" fontId="3" fillId="18" borderId="2" xfId="0" applyNumberFormat="1" applyFont="1" applyFill="1" applyBorder="1" applyAlignment="1">
      <alignment horizontal="left" vertical="top" wrapText="1"/>
    </xf>
    <xf numFmtId="164" fontId="3" fillId="5" borderId="2" xfId="0" applyNumberFormat="1" applyFont="1" applyFill="1" applyBorder="1" applyAlignment="1">
      <alignment horizontal="left" vertical="top" wrapText="1"/>
    </xf>
    <xf numFmtId="164" fontId="3" fillId="13" borderId="2" xfId="0" applyNumberFormat="1" applyFont="1" applyFill="1" applyBorder="1" applyAlignment="1">
      <alignment horizontal="left" vertical="top" wrapText="1"/>
    </xf>
    <xf numFmtId="164" fontId="4" fillId="11" borderId="12" xfId="0" applyNumberFormat="1" applyFont="1" applyFill="1" applyBorder="1" applyAlignment="1">
      <alignment horizontal="right" vertical="top" wrapText="1"/>
    </xf>
    <xf numFmtId="164" fontId="3" fillId="18" borderId="12" xfId="0" applyNumberFormat="1" applyFont="1" applyFill="1" applyBorder="1" applyAlignment="1">
      <alignment horizontal="left" vertical="top" wrapText="1"/>
    </xf>
    <xf numFmtId="164" fontId="4" fillId="0" borderId="12" xfId="0" applyNumberFormat="1" applyFont="1" applyBorder="1" applyAlignment="1">
      <alignment horizontal="right" vertical="top" wrapText="1"/>
    </xf>
    <xf numFmtId="0" fontId="3" fillId="0" borderId="0" xfId="0" applyFont="1" applyAlignment="1">
      <alignment horizontal="right" vertical="top" wrapText="1"/>
    </xf>
    <xf numFmtId="0" fontId="4" fillId="0" borderId="0" xfId="0" applyFont="1" applyAlignment="1">
      <alignment horizontal="center" vertical="top" wrapText="1"/>
    </xf>
    <xf numFmtId="0" fontId="3" fillId="14" borderId="0" xfId="0" applyFont="1" applyFill="1" applyAlignment="1">
      <alignment horizontal="right" vertical="top" wrapText="1"/>
    </xf>
    <xf numFmtId="0" fontId="3" fillId="0" borderId="0" xfId="0" applyFont="1" applyAlignment="1">
      <alignment horizontal="center" vertical="top" wrapText="1"/>
    </xf>
    <xf numFmtId="2" fontId="3" fillId="7" borderId="0" xfId="0" applyNumberFormat="1" applyFont="1" applyFill="1" applyAlignment="1">
      <alignment horizontal="left" vertical="top" wrapText="1"/>
    </xf>
    <xf numFmtId="165" fontId="7" fillId="0" borderId="41" xfId="0" applyNumberFormat="1" applyFont="1" applyBorder="1"/>
    <xf numFmtId="165" fontId="9" fillId="0" borderId="22" xfId="0" applyNumberFormat="1" applyFont="1" applyBorder="1"/>
    <xf numFmtId="10" fontId="9" fillId="0" borderId="44" xfId="3" applyNumberFormat="1" applyFont="1" applyFill="1" applyBorder="1"/>
    <xf numFmtId="165" fontId="7" fillId="0" borderId="43" xfId="0" applyNumberFormat="1" applyFont="1" applyBorder="1"/>
    <xf numFmtId="165" fontId="7" fillId="0" borderId="22" xfId="0" applyNumberFormat="1" applyFont="1" applyBorder="1"/>
    <xf numFmtId="0" fontId="9" fillId="0" borderId="59" xfId="0" applyFont="1" applyBorder="1"/>
    <xf numFmtId="165" fontId="7" fillId="0" borderId="59" xfId="0" applyNumberFormat="1" applyFont="1" applyBorder="1"/>
    <xf numFmtId="0" fontId="7" fillId="18" borderId="0" xfId="0" applyFont="1" applyFill="1" applyBorder="1"/>
    <xf numFmtId="10" fontId="7" fillId="18" borderId="0" xfId="3" applyNumberFormat="1" applyFont="1" applyFill="1" applyBorder="1"/>
    <xf numFmtId="0" fontId="7" fillId="0" borderId="0" xfId="0" applyFont="1" applyBorder="1"/>
    <xf numFmtId="10" fontId="7" fillId="0" borderId="0" xfId="3" applyNumberFormat="1" applyFont="1" applyFill="1" applyBorder="1"/>
    <xf numFmtId="0" fontId="9" fillId="0" borderId="0" xfId="0" applyFont="1" applyBorder="1"/>
    <xf numFmtId="165" fontId="7" fillId="0" borderId="0" xfId="0" applyNumberFormat="1" applyFont="1" applyBorder="1"/>
    <xf numFmtId="165" fontId="9" fillId="20" borderId="35" xfId="0" applyNumberFormat="1" applyFont="1" applyFill="1" applyBorder="1"/>
    <xf numFmtId="10" fontId="9" fillId="20" borderId="36" xfId="3" applyNumberFormat="1" applyFont="1" applyFill="1" applyBorder="1"/>
    <xf numFmtId="0" fontId="7" fillId="0" borderId="60" xfId="0" applyFont="1" applyBorder="1"/>
    <xf numFmtId="165" fontId="7" fillId="0" borderId="60" xfId="0" applyNumberFormat="1" applyFont="1" applyBorder="1"/>
    <xf numFmtId="0" fontId="7" fillId="0" borderId="61" xfId="0" applyFont="1" applyBorder="1" applyAlignment="1">
      <alignment vertical="top"/>
    </xf>
    <xf numFmtId="0" fontId="9" fillId="0" borderId="62" xfId="0" applyFont="1" applyBorder="1"/>
    <xf numFmtId="0" fontId="7" fillId="0" borderId="63" xfId="0" applyFont="1" applyBorder="1" applyAlignment="1">
      <alignment horizontal="center"/>
    </xf>
    <xf numFmtId="0" fontId="7" fillId="0" borderId="0" xfId="0" applyFont="1" applyBorder="1" applyAlignment="1">
      <alignment horizontal="center"/>
    </xf>
    <xf numFmtId="165" fontId="7" fillId="0" borderId="61" xfId="0" applyNumberFormat="1" applyFont="1" applyBorder="1"/>
    <xf numFmtId="165" fontId="7" fillId="0" borderId="62" xfId="0" applyNumberFormat="1" applyFont="1" applyBorder="1" applyAlignment="1">
      <alignment horizontal="center"/>
    </xf>
    <xf numFmtId="165" fontId="7" fillId="0" borderId="65" xfId="0" applyNumberFormat="1" applyFont="1" applyBorder="1"/>
    <xf numFmtId="165" fontId="7" fillId="0" borderId="62" xfId="0" applyNumberFormat="1" applyFont="1" applyBorder="1"/>
    <xf numFmtId="0" fontId="7" fillId="0" borderId="60" xfId="0" applyFont="1" applyBorder="1" applyAlignment="1">
      <alignment horizontal="center"/>
    </xf>
    <xf numFmtId="0" fontId="9" fillId="0" borderId="66" xfId="0" applyFont="1" applyBorder="1" applyAlignment="1">
      <alignment horizontal="center" vertical="top" wrapText="1"/>
    </xf>
    <xf numFmtId="0" fontId="9" fillId="0" borderId="67" xfId="0" applyFont="1" applyBorder="1" applyAlignment="1">
      <alignment vertical="center" wrapText="1"/>
    </xf>
    <xf numFmtId="165" fontId="9" fillId="0" borderId="68" xfId="0" applyNumberFormat="1" applyFont="1" applyBorder="1" applyAlignment="1">
      <alignment horizontal="center" vertical="center" wrapText="1"/>
    </xf>
    <xf numFmtId="165" fontId="9" fillId="0" borderId="67" xfId="0" applyNumberFormat="1" applyFont="1" applyBorder="1" applyAlignment="1">
      <alignment horizontal="center" vertical="center" wrapText="1"/>
    </xf>
    <xf numFmtId="0" fontId="11" fillId="0" borderId="0" xfId="0" applyFont="1" applyBorder="1" applyAlignment="1">
      <alignment horizontal="left" vertical="top" wrapText="1"/>
    </xf>
    <xf numFmtId="4" fontId="11" fillId="0" borderId="0" xfId="0" applyNumberFormat="1" applyFont="1" applyBorder="1" applyAlignment="1">
      <alignment horizontal="right" vertical="top"/>
    </xf>
    <xf numFmtId="4" fontId="7" fillId="0" borderId="0" xfId="0" applyNumberFormat="1" applyFont="1" applyBorder="1" applyAlignment="1">
      <alignment horizontal="right" vertical="top"/>
    </xf>
    <xf numFmtId="0" fontId="9" fillId="20" borderId="0" xfId="0" applyFont="1" applyFill="1" applyBorder="1"/>
    <xf numFmtId="165" fontId="9" fillId="20" borderId="0" xfId="0" applyNumberFormat="1" applyFont="1" applyFill="1" applyBorder="1" applyAlignment="1">
      <alignment horizontal="right"/>
    </xf>
    <xf numFmtId="165" fontId="9" fillId="20" borderId="0" xfId="0" applyNumberFormat="1" applyFont="1" applyFill="1" applyBorder="1" applyAlignment="1">
      <alignment horizontal="center"/>
    </xf>
    <xf numFmtId="0" fontId="9" fillId="18" borderId="69" xfId="0" applyFont="1" applyFill="1" applyBorder="1" applyAlignment="1">
      <alignment horizontal="center" vertical="top"/>
    </xf>
    <xf numFmtId="0" fontId="7" fillId="18" borderId="59" xfId="0" applyFont="1" applyFill="1" applyBorder="1" applyAlignment="1">
      <alignment horizontal="left" vertical="top" wrapText="1"/>
    </xf>
    <xf numFmtId="4" fontId="11" fillId="18" borderId="59" xfId="0" applyNumberFormat="1" applyFont="1" applyFill="1" applyBorder="1" applyAlignment="1">
      <alignment horizontal="right" vertical="top"/>
    </xf>
    <xf numFmtId="4" fontId="7" fillId="18" borderId="59" xfId="0" applyNumberFormat="1" applyFont="1" applyFill="1" applyBorder="1" applyAlignment="1">
      <alignment horizontal="right" vertical="top"/>
    </xf>
    <xf numFmtId="0" fontId="9" fillId="0" borderId="57" xfId="0" applyFont="1" applyBorder="1" applyAlignment="1">
      <alignment horizontal="center" vertical="top"/>
    </xf>
    <xf numFmtId="0" fontId="9" fillId="0" borderId="57" xfId="0" applyFont="1" applyBorder="1" applyAlignment="1">
      <alignment vertical="top"/>
    </xf>
    <xf numFmtId="0" fontId="7" fillId="0" borderId="57" xfId="0" applyFont="1" applyBorder="1" applyAlignment="1">
      <alignment vertical="top"/>
    </xf>
    <xf numFmtId="0" fontId="7" fillId="0" borderId="71" xfId="0" applyFont="1" applyBorder="1" applyAlignment="1">
      <alignment vertical="top"/>
    </xf>
    <xf numFmtId="0" fontId="9" fillId="0" borderId="60" xfId="0" applyFont="1" applyBorder="1"/>
    <xf numFmtId="165" fontId="9" fillId="0" borderId="66" xfId="0" applyNumberFormat="1" applyFont="1" applyBorder="1" applyAlignment="1">
      <alignment horizontal="center" vertical="center" wrapText="1"/>
    </xf>
    <xf numFmtId="165" fontId="10" fillId="0" borderId="68" xfId="0" applyNumberFormat="1" applyFont="1" applyBorder="1" applyAlignment="1">
      <alignment horizontal="center" vertical="center" wrapText="1"/>
    </xf>
    <xf numFmtId="165" fontId="9" fillId="0" borderId="73" xfId="0" applyNumberFormat="1" applyFont="1" applyBorder="1" applyAlignment="1">
      <alignment horizontal="center" vertical="center" wrapText="1"/>
    </xf>
    <xf numFmtId="165" fontId="7" fillId="0" borderId="0" xfId="0" applyNumberFormat="1" applyFont="1" applyBorder="1" applyAlignment="1">
      <alignment vertical="center" wrapText="1"/>
    </xf>
    <xf numFmtId="10" fontId="11" fillId="0" borderId="0" xfId="3" applyNumberFormat="1" applyFont="1" applyFill="1" applyBorder="1" applyAlignment="1">
      <alignment horizontal="center" vertical="top"/>
    </xf>
    <xf numFmtId="10" fontId="7" fillId="0" borderId="0" xfId="3" applyNumberFormat="1" applyFont="1" applyFill="1" applyBorder="1" applyAlignment="1">
      <alignment horizontal="right" vertical="top"/>
    </xf>
    <xf numFmtId="4" fontId="11" fillId="0" borderId="0" xfId="0" applyNumberFormat="1" applyFont="1" applyBorder="1" applyAlignment="1">
      <alignment horizontal="center" vertical="top"/>
    </xf>
    <xf numFmtId="165" fontId="7" fillId="0" borderId="0" xfId="0" applyNumberFormat="1" applyFont="1" applyBorder="1" applyAlignment="1">
      <alignment horizontal="center"/>
    </xf>
    <xf numFmtId="165" fontId="9" fillId="0" borderId="0" xfId="0" applyNumberFormat="1" applyFont="1" applyBorder="1"/>
    <xf numFmtId="10" fontId="9" fillId="0" borderId="0" xfId="3" applyNumberFormat="1" applyFont="1" applyFill="1" applyBorder="1"/>
    <xf numFmtId="165" fontId="9" fillId="20" borderId="0" xfId="0" applyNumberFormat="1" applyFont="1" applyFill="1" applyBorder="1"/>
    <xf numFmtId="10" fontId="9" fillId="20" borderId="0" xfId="3" applyNumberFormat="1" applyFont="1" applyFill="1" applyBorder="1" applyAlignment="1">
      <alignment horizontal="center"/>
    </xf>
    <xf numFmtId="10" fontId="9" fillId="20" borderId="0" xfId="3" applyNumberFormat="1" applyFont="1" applyFill="1" applyBorder="1"/>
    <xf numFmtId="165" fontId="7" fillId="18" borderId="69" xfId="0" applyNumberFormat="1" applyFont="1" applyFill="1" applyBorder="1" applyAlignment="1">
      <alignment vertical="center" wrapText="1"/>
    </xf>
    <xf numFmtId="10" fontId="11" fillId="18" borderId="59" xfId="3" applyNumberFormat="1" applyFont="1" applyFill="1" applyBorder="1" applyAlignment="1">
      <alignment horizontal="center" vertical="top"/>
    </xf>
    <xf numFmtId="165" fontId="7" fillId="18" borderId="59" xfId="0" applyNumberFormat="1" applyFont="1" applyFill="1" applyBorder="1" applyAlignment="1">
      <alignment vertical="center" wrapText="1"/>
    </xf>
    <xf numFmtId="10" fontId="7" fillId="18" borderId="70" xfId="3" applyNumberFormat="1" applyFont="1" applyFill="1" applyBorder="1" applyAlignment="1">
      <alignment horizontal="right" vertical="top"/>
    </xf>
    <xf numFmtId="165" fontId="7" fillId="0" borderId="57" xfId="0" applyNumberFormat="1" applyFont="1" applyBorder="1" applyAlignment="1">
      <alignment vertical="center" wrapText="1"/>
    </xf>
    <xf numFmtId="10" fontId="7" fillId="0" borderId="58" xfId="3" applyNumberFormat="1" applyFont="1" applyFill="1" applyBorder="1" applyAlignment="1">
      <alignment horizontal="right" vertical="top"/>
    </xf>
    <xf numFmtId="4" fontId="11" fillId="0" borderId="57" xfId="0" applyNumberFormat="1" applyFont="1" applyBorder="1" applyAlignment="1">
      <alignment horizontal="right" vertical="top"/>
    </xf>
    <xf numFmtId="4" fontId="11" fillId="0" borderId="58" xfId="0" applyNumberFormat="1" applyFont="1" applyBorder="1" applyAlignment="1">
      <alignment horizontal="right" vertical="top"/>
    </xf>
    <xf numFmtId="165" fontId="7" fillId="0" borderId="57" xfId="0" applyNumberFormat="1" applyFont="1" applyBorder="1"/>
    <xf numFmtId="10" fontId="9" fillId="0" borderId="58" xfId="3" applyNumberFormat="1" applyFont="1" applyFill="1" applyBorder="1"/>
    <xf numFmtId="165" fontId="9" fillId="20" borderId="57" xfId="0" applyNumberFormat="1" applyFont="1" applyFill="1" applyBorder="1"/>
    <xf numFmtId="165" fontId="7" fillId="0" borderId="58" xfId="0" applyNumberFormat="1" applyFont="1" applyBorder="1"/>
    <xf numFmtId="10" fontId="9" fillId="20" borderId="58" xfId="3" applyNumberFormat="1" applyFont="1" applyFill="1" applyBorder="1"/>
    <xf numFmtId="165" fontId="7" fillId="0" borderId="71" xfId="0" applyNumberFormat="1" applyFont="1" applyBorder="1"/>
    <xf numFmtId="165" fontId="7" fillId="0" borderId="60" xfId="0" applyNumberFormat="1" applyFont="1" applyBorder="1" applyAlignment="1">
      <alignment horizontal="center"/>
    </xf>
    <xf numFmtId="165" fontId="9" fillId="0" borderId="60" xfId="0" applyNumberFormat="1" applyFont="1" applyBorder="1"/>
    <xf numFmtId="10" fontId="9" fillId="0" borderId="72" xfId="3" applyNumberFormat="1" applyFont="1" applyFill="1" applyBorder="1"/>
    <xf numFmtId="10" fontId="7" fillId="18" borderId="59" xfId="3" applyNumberFormat="1" applyFont="1" applyFill="1" applyBorder="1" applyAlignment="1">
      <alignment horizontal="right" vertical="top"/>
    </xf>
    <xf numFmtId="10" fontId="9" fillId="0" borderId="60" xfId="3" applyNumberFormat="1" applyFont="1" applyFill="1" applyBorder="1"/>
    <xf numFmtId="165" fontId="9" fillId="0" borderId="74" xfId="0" applyNumberFormat="1" applyFont="1" applyBorder="1" applyAlignment="1">
      <alignment horizontal="center" vertical="center" wrapText="1"/>
    </xf>
    <xf numFmtId="10" fontId="11" fillId="0" borderId="0" xfId="3" applyNumberFormat="1" applyFont="1" applyFill="1" applyBorder="1" applyAlignment="1">
      <alignment horizontal="right" vertical="top"/>
    </xf>
    <xf numFmtId="10" fontId="11" fillId="18" borderId="59" xfId="3" applyNumberFormat="1" applyFont="1" applyFill="1" applyBorder="1" applyAlignment="1">
      <alignment horizontal="right" vertical="top"/>
    </xf>
    <xf numFmtId="10" fontId="11" fillId="0" borderId="32" xfId="3" applyNumberFormat="1" applyFont="1" applyFill="1" applyBorder="1" applyAlignment="1">
      <alignment horizontal="right" vertical="top"/>
    </xf>
    <xf numFmtId="0" fontId="7" fillId="0" borderId="57" xfId="0" applyFont="1" applyFill="1" applyBorder="1" applyAlignment="1">
      <alignment vertical="top"/>
    </xf>
    <xf numFmtId="0" fontId="9" fillId="0" borderId="0" xfId="0" applyFont="1" applyFill="1" applyBorder="1"/>
    <xf numFmtId="0" fontId="7" fillId="0" borderId="0" xfId="0" applyFont="1" applyFill="1" applyBorder="1" applyAlignment="1">
      <alignment horizontal="center"/>
    </xf>
    <xf numFmtId="165" fontId="7" fillId="0" borderId="57" xfId="0" applyNumberFormat="1" applyFont="1" applyFill="1" applyBorder="1"/>
    <xf numFmtId="165" fontId="7" fillId="0" borderId="0" xfId="0" applyNumberFormat="1" applyFont="1" applyFill="1" applyBorder="1" applyAlignment="1">
      <alignment horizontal="center"/>
    </xf>
    <xf numFmtId="165" fontId="9" fillId="0" borderId="0" xfId="0" applyNumberFormat="1" applyFont="1" applyFill="1" applyBorder="1"/>
    <xf numFmtId="165" fontId="7" fillId="0" borderId="0" xfId="0" applyNumberFormat="1" applyFont="1" applyFill="1" applyBorder="1"/>
    <xf numFmtId="165" fontId="7" fillId="0" borderId="31" xfId="0" applyNumberFormat="1" applyFont="1" applyFill="1" applyBorder="1"/>
    <xf numFmtId="165" fontId="7" fillId="0" borderId="21" xfId="0" applyNumberFormat="1" applyFont="1" applyFill="1" applyBorder="1"/>
    <xf numFmtId="165" fontId="9" fillId="0" borderId="21" xfId="0" applyNumberFormat="1" applyFont="1" applyFill="1" applyBorder="1"/>
    <xf numFmtId="165" fontId="7" fillId="0" borderId="46" xfId="0" applyNumberFormat="1" applyFont="1" applyFill="1" applyBorder="1"/>
    <xf numFmtId="0" fontId="7" fillId="0" borderId="0" xfId="0" applyFont="1" applyFill="1" applyBorder="1"/>
    <xf numFmtId="0" fontId="9" fillId="0" borderId="61" xfId="0" applyFont="1" applyBorder="1" applyAlignment="1">
      <alignment horizontal="center" vertical="top" wrapText="1"/>
    </xf>
    <xf numFmtId="0" fontId="9" fillId="0" borderId="63" xfId="0" applyFont="1" applyBorder="1" applyAlignment="1">
      <alignment vertical="center" wrapText="1"/>
    </xf>
    <xf numFmtId="165" fontId="9" fillId="0" borderId="62" xfId="0" applyNumberFormat="1" applyFont="1" applyBorder="1" applyAlignment="1">
      <alignment horizontal="center" vertical="center" wrapText="1"/>
    </xf>
    <xf numFmtId="165" fontId="9" fillId="0" borderId="63" xfId="0" applyNumberFormat="1" applyFont="1" applyBorder="1" applyAlignment="1">
      <alignment horizontal="center" vertical="center" wrapText="1"/>
    </xf>
    <xf numFmtId="165" fontId="9" fillId="0" borderId="61" xfId="0" applyNumberFormat="1" applyFont="1" applyBorder="1" applyAlignment="1">
      <alignment horizontal="center" vertical="center" wrapText="1"/>
    </xf>
    <xf numFmtId="165" fontId="10" fillId="0" borderId="62" xfId="0" applyNumberFormat="1" applyFont="1" applyBorder="1" applyAlignment="1">
      <alignment horizontal="center" vertical="center" wrapText="1"/>
    </xf>
    <xf numFmtId="165" fontId="9" fillId="0" borderId="64" xfId="0" applyNumberFormat="1" applyFont="1" applyBorder="1" applyAlignment="1">
      <alignment horizontal="center" vertical="center" wrapText="1"/>
    </xf>
    <xf numFmtId="165" fontId="9" fillId="0" borderId="62" xfId="0" applyNumberFormat="1" applyFont="1" applyBorder="1"/>
    <xf numFmtId="10" fontId="9" fillId="0" borderId="64" xfId="3" applyNumberFormat="1" applyFont="1" applyFill="1" applyBorder="1"/>
    <xf numFmtId="165" fontId="9" fillId="0" borderId="65" xfId="0" applyNumberFormat="1" applyFont="1" applyBorder="1" applyAlignment="1">
      <alignment horizontal="center" vertical="center" wrapText="1"/>
    </xf>
    <xf numFmtId="10" fontId="9" fillId="0" borderId="63" xfId="3" applyNumberFormat="1" applyFont="1" applyFill="1" applyBorder="1"/>
    <xf numFmtId="4" fontId="4" fillId="10" borderId="12" xfId="0" applyNumberFormat="1" applyFont="1" applyFill="1" applyBorder="1" applyAlignment="1">
      <alignment horizontal="center" vertical="top" wrapText="1"/>
    </xf>
    <xf numFmtId="0" fontId="4" fillId="8" borderId="5" xfId="0" applyFont="1" applyFill="1" applyBorder="1" applyAlignment="1">
      <alignment horizontal="left" vertical="top" wrapText="1"/>
    </xf>
    <xf numFmtId="4" fontId="3" fillId="18" borderId="3" xfId="0" applyNumberFormat="1" applyFont="1" applyFill="1" applyBorder="1" applyAlignment="1">
      <alignment horizontal="center" vertical="top" wrapText="1"/>
    </xf>
    <xf numFmtId="164" fontId="4" fillId="0" borderId="8" xfId="0" applyNumberFormat="1" applyFont="1" applyFill="1" applyBorder="1" applyAlignment="1">
      <alignment horizontal="right" vertical="top" wrapText="1"/>
    </xf>
    <xf numFmtId="164" fontId="4" fillId="0" borderId="12" xfId="0" applyNumberFormat="1" applyFont="1" applyFill="1" applyBorder="1" applyAlignment="1">
      <alignment horizontal="right" vertical="top" wrapText="1"/>
    </xf>
    <xf numFmtId="4" fontId="4" fillId="0" borderId="0" xfId="0" applyNumberFormat="1" applyFont="1" applyAlignment="1">
      <alignment horizontal="left" vertical="center"/>
    </xf>
    <xf numFmtId="0" fontId="4" fillId="10" borderId="7" xfId="0" applyNumberFormat="1" applyFont="1" applyFill="1" applyBorder="1" applyAlignment="1">
      <alignment horizontal="center" vertical="top" wrapText="1"/>
    </xf>
    <xf numFmtId="0" fontId="4" fillId="8" borderId="5" xfId="0" applyFont="1" applyFill="1" applyBorder="1" applyAlignment="1">
      <alignment horizontal="center" vertical="top" wrapText="1"/>
    </xf>
    <xf numFmtId="0" fontId="4" fillId="9" borderId="6" xfId="0" applyFont="1" applyFill="1" applyBorder="1" applyAlignment="1">
      <alignment horizontal="center" vertical="top" wrapText="1"/>
    </xf>
    <xf numFmtId="0" fontId="0" fillId="0" borderId="0" xfId="0" applyFont="1"/>
    <xf numFmtId="0" fontId="4" fillId="10" borderId="7" xfId="0" applyFont="1" applyFill="1" applyBorder="1" applyAlignment="1">
      <alignment horizontal="center" vertical="top" wrapText="1"/>
    </xf>
    <xf numFmtId="0" fontId="3" fillId="5" borderId="2" xfId="0" applyFont="1" applyFill="1" applyBorder="1" applyAlignment="1">
      <alignment horizontal="center" vertical="top" wrapText="1"/>
    </xf>
    <xf numFmtId="0" fontId="3" fillId="6" borderId="3" xfId="0" applyFont="1" applyFill="1" applyBorder="1" applyAlignment="1">
      <alignment horizontal="right" vertical="top" wrapText="1"/>
    </xf>
    <xf numFmtId="164" fontId="3" fillId="7" borderId="4" xfId="0" applyNumberFormat="1" applyFont="1" applyFill="1" applyBorder="1" applyAlignment="1">
      <alignment horizontal="right" vertical="top" wrapText="1"/>
    </xf>
    <xf numFmtId="0" fontId="3" fillId="18" borderId="2" xfId="0" applyFont="1" applyFill="1" applyBorder="1" applyAlignment="1">
      <alignment horizontal="center" vertical="top" wrapText="1"/>
    </xf>
    <xf numFmtId="0" fontId="3" fillId="18" borderId="3" xfId="0" applyFont="1" applyFill="1" applyBorder="1" applyAlignment="1">
      <alignment horizontal="right" vertical="top" wrapText="1"/>
    </xf>
    <xf numFmtId="164" fontId="3" fillId="18" borderId="4" xfId="0" applyNumberFormat="1" applyFont="1" applyFill="1" applyBorder="1" applyAlignment="1">
      <alignment horizontal="right" vertical="top" wrapText="1"/>
    </xf>
    <xf numFmtId="0" fontId="0" fillId="18" borderId="0" xfId="0" applyFont="1" applyFill="1"/>
    <xf numFmtId="0" fontId="4" fillId="0" borderId="5" xfId="0" applyFont="1" applyFill="1" applyBorder="1" applyAlignment="1">
      <alignment horizontal="left" vertical="top" wrapText="1"/>
    </xf>
    <xf numFmtId="0" fontId="4" fillId="0" borderId="7"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4" fontId="4" fillId="0" borderId="7" xfId="0" applyNumberFormat="1" applyFont="1" applyFill="1" applyBorder="1" applyAlignment="1">
      <alignment horizontal="center" vertical="top" wrapText="1"/>
    </xf>
    <xf numFmtId="0" fontId="0" fillId="0" borderId="0" xfId="0" applyFont="1" applyFill="1"/>
    <xf numFmtId="0" fontId="0" fillId="0" borderId="0" xfId="0" applyFont="1" applyFill="1" applyAlignment="1">
      <alignment horizontal="left"/>
    </xf>
    <xf numFmtId="0" fontId="4" fillId="10" borderId="12" xfId="0" applyFont="1" applyFill="1" applyBorder="1" applyAlignment="1">
      <alignment horizontal="center" vertical="top" wrapText="1"/>
    </xf>
    <xf numFmtId="0" fontId="4" fillId="8" borderId="12" xfId="0" applyFont="1" applyFill="1" applyBorder="1" applyAlignment="1">
      <alignment horizontal="center" vertical="top" wrapText="1"/>
    </xf>
    <xf numFmtId="0" fontId="4" fillId="8" borderId="12" xfId="0" applyFont="1" applyFill="1" applyBorder="1" applyAlignment="1">
      <alignment horizontal="left" vertical="top" wrapText="1"/>
    </xf>
    <xf numFmtId="0" fontId="4" fillId="9" borderId="12" xfId="0" applyFont="1" applyFill="1" applyBorder="1" applyAlignment="1">
      <alignment horizontal="center" vertical="top" wrapText="1"/>
    </xf>
    <xf numFmtId="0" fontId="0" fillId="0" borderId="0" xfId="0" applyFont="1" applyAlignment="1">
      <alignment horizontal="left"/>
    </xf>
    <xf numFmtId="0" fontId="4" fillId="0" borderId="7" xfId="0" applyFont="1" applyFill="1" applyBorder="1" applyAlignment="1">
      <alignment horizontal="center" vertical="top" wrapText="1"/>
    </xf>
    <xf numFmtId="164" fontId="0" fillId="18" borderId="0" xfId="0" applyNumberFormat="1" applyFont="1" applyFill="1"/>
    <xf numFmtId="0" fontId="4" fillId="0" borderId="9" xfId="0" applyFont="1" applyFill="1" applyBorder="1" applyAlignment="1">
      <alignment horizontal="left" vertical="top" wrapText="1"/>
    </xf>
    <xf numFmtId="0" fontId="4" fillId="0" borderId="11"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4" fontId="4" fillId="0" borderId="11" xfId="0" applyNumberFormat="1"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2" xfId="0" applyFont="1" applyFill="1" applyBorder="1" applyAlignment="1">
      <alignment horizontal="left" vertical="top" wrapText="1"/>
    </xf>
    <xf numFmtId="4" fontId="3" fillId="18" borderId="4" xfId="0" applyNumberFormat="1" applyFont="1" applyFill="1" applyBorder="1" applyAlignment="1">
      <alignment horizontal="right" vertical="top" wrapText="1"/>
    </xf>
    <xf numFmtId="0" fontId="0" fillId="8" borderId="12" xfId="0" applyFont="1" applyFill="1" applyBorder="1" applyAlignment="1">
      <alignment horizontal="left" vertical="top" wrapText="1"/>
    </xf>
    <xf numFmtId="0" fontId="0" fillId="10" borderId="12" xfId="0" applyFont="1" applyFill="1" applyBorder="1" applyAlignment="1">
      <alignment horizontal="center" vertical="top" wrapText="1"/>
    </xf>
    <xf numFmtId="0" fontId="0" fillId="8" borderId="12" xfId="0" applyFont="1" applyFill="1" applyBorder="1" applyAlignment="1">
      <alignment horizontal="center" vertical="top" wrapText="1"/>
    </xf>
    <xf numFmtId="0" fontId="2" fillId="8" borderId="12" xfId="0" applyFont="1" applyFill="1" applyBorder="1" applyAlignment="1">
      <alignment horizontal="left" vertical="top" wrapText="1"/>
    </xf>
    <xf numFmtId="0" fontId="0" fillId="9" borderId="12" xfId="0" applyFont="1" applyFill="1" applyBorder="1" applyAlignment="1">
      <alignment horizontal="center" vertical="top" wrapText="1"/>
    </xf>
    <xf numFmtId="4" fontId="0" fillId="10" borderId="12" xfId="0" applyNumberFormat="1" applyFont="1" applyFill="1" applyBorder="1" applyAlignment="1">
      <alignment horizontal="center" vertical="top" wrapText="1"/>
    </xf>
    <xf numFmtId="164" fontId="0" fillId="11" borderId="12" xfId="0" applyNumberFormat="1" applyFont="1" applyFill="1" applyBorder="1" applyAlignment="1">
      <alignment horizontal="right" vertical="top" wrapText="1"/>
    </xf>
    <xf numFmtId="164" fontId="2" fillId="18" borderId="12" xfId="0" applyNumberFormat="1" applyFont="1" applyFill="1" applyBorder="1" applyAlignment="1">
      <alignment horizontal="right" vertical="top" wrapText="1"/>
    </xf>
    <xf numFmtId="0" fontId="0" fillId="17" borderId="12" xfId="0" applyFont="1" applyFill="1" applyBorder="1" applyAlignment="1">
      <alignment horizontal="left" vertical="top" wrapText="1"/>
    </xf>
    <xf numFmtId="0" fontId="0" fillId="17" borderId="12" xfId="0" applyFont="1" applyFill="1" applyBorder="1" applyAlignment="1">
      <alignment horizontal="center" vertical="top" wrapText="1"/>
    </xf>
    <xf numFmtId="4" fontId="0" fillId="17" borderId="12" xfId="0" applyNumberFormat="1" applyFont="1" applyFill="1" applyBorder="1" applyAlignment="1">
      <alignment horizontal="center" vertical="top" wrapText="1"/>
    </xf>
    <xf numFmtId="164" fontId="0" fillId="17" borderId="12" xfId="0" applyNumberFormat="1" applyFont="1" applyFill="1" applyBorder="1" applyAlignment="1">
      <alignment horizontal="right" vertical="top" wrapText="1"/>
    </xf>
    <xf numFmtId="164" fontId="2" fillId="17" borderId="12" xfId="0" applyNumberFormat="1" applyFont="1" applyFill="1" applyBorder="1" applyAlignment="1">
      <alignment horizontal="right" vertical="top" wrapText="1"/>
    </xf>
    <xf numFmtId="4" fontId="3" fillId="6" borderId="3" xfId="0" applyNumberFormat="1" applyFont="1" applyFill="1" applyBorder="1" applyAlignment="1">
      <alignment horizontal="center" vertical="top" wrapText="1"/>
    </xf>
    <xf numFmtId="4" fontId="4" fillId="0" borderId="12" xfId="0" applyNumberFormat="1" applyFont="1" applyFill="1" applyBorder="1" applyAlignment="1">
      <alignment horizontal="center" vertical="top" wrapText="1"/>
    </xf>
    <xf numFmtId="4" fontId="4" fillId="10" borderId="7" xfId="0" applyNumberFormat="1" applyFont="1" applyFill="1" applyBorder="1" applyAlignment="1">
      <alignment horizontal="center" vertical="top" wrapText="1"/>
    </xf>
    <xf numFmtId="0" fontId="3" fillId="13" borderId="2" xfId="0" applyFont="1" applyFill="1" applyBorder="1" applyAlignment="1">
      <alignment horizontal="left" vertical="top" wrapText="1"/>
    </xf>
    <xf numFmtId="0" fontId="3" fillId="13" borderId="2" xfId="0" applyFont="1" applyFill="1" applyBorder="1" applyAlignment="1">
      <alignment horizontal="center" vertical="top" wrapText="1"/>
    </xf>
    <xf numFmtId="4" fontId="3" fillId="13" borderId="3" xfId="0" applyNumberFormat="1" applyFont="1" applyFill="1" applyBorder="1" applyAlignment="1">
      <alignment horizontal="center" vertical="top" wrapText="1"/>
    </xf>
    <xf numFmtId="164" fontId="3" fillId="13" borderId="4" xfId="0" applyNumberFormat="1" applyFont="1" applyFill="1" applyBorder="1" applyAlignment="1">
      <alignment horizontal="right" vertical="top" wrapText="1"/>
    </xf>
    <xf numFmtId="0" fontId="0" fillId="13" borderId="0" xfId="0" applyFont="1" applyFill="1"/>
    <xf numFmtId="0" fontId="4" fillId="0" borderId="12" xfId="0" applyNumberFormat="1" applyFont="1" applyFill="1" applyBorder="1" applyAlignment="1">
      <alignment horizontal="center" vertical="top" wrapText="1"/>
    </xf>
    <xf numFmtId="0" fontId="12" fillId="13" borderId="2" xfId="0" applyFont="1" applyFill="1" applyBorder="1" applyAlignment="1">
      <alignment horizontal="left" vertical="top"/>
    </xf>
    <xf numFmtId="0" fontId="12" fillId="18" borderId="2" xfId="0" applyFont="1" applyFill="1" applyBorder="1" applyAlignment="1">
      <alignment horizontal="left" vertical="top"/>
    </xf>
    <xf numFmtId="0" fontId="4" fillId="10" borderId="12" xfId="0" applyNumberFormat="1" applyFont="1" applyFill="1" applyBorder="1" applyAlignment="1">
      <alignment horizontal="center" vertical="top" wrapText="1"/>
    </xf>
    <xf numFmtId="0" fontId="3" fillId="18" borderId="12" xfId="0" applyFont="1" applyFill="1" applyBorder="1" applyAlignment="1">
      <alignment horizontal="left" vertical="top" wrapText="1"/>
    </xf>
    <xf numFmtId="0" fontId="3" fillId="18" borderId="12" xfId="0" applyFont="1" applyFill="1" applyBorder="1" applyAlignment="1">
      <alignment horizontal="right" vertical="top" wrapText="1"/>
    </xf>
    <xf numFmtId="164" fontId="3" fillId="18" borderId="12" xfId="0" applyNumberFormat="1" applyFont="1" applyFill="1" applyBorder="1" applyAlignment="1">
      <alignment horizontal="right" vertical="top" wrapText="1"/>
    </xf>
    <xf numFmtId="0" fontId="4" fillId="12" borderId="12" xfId="0" applyFont="1" applyFill="1" applyBorder="1" applyAlignment="1">
      <alignment horizontal="left" vertical="top" wrapText="1"/>
    </xf>
    <xf numFmtId="164" fontId="4" fillId="0" borderId="8" xfId="0" applyNumberFormat="1" applyFont="1" applyBorder="1" applyAlignment="1">
      <alignment horizontal="right" vertical="top" wrapText="1"/>
    </xf>
    <xf numFmtId="0" fontId="4" fillId="12" borderId="12" xfId="0" applyFont="1" applyFill="1" applyBorder="1" applyAlignment="1">
      <alignment horizontal="center" vertical="top" wrapText="1"/>
    </xf>
    <xf numFmtId="0" fontId="0" fillId="17" borderId="17" xfId="0" applyFont="1" applyFill="1" applyBorder="1" applyAlignment="1">
      <alignment horizontal="left" vertical="top" wrapText="1"/>
    </xf>
    <xf numFmtId="0" fontId="0" fillId="17" borderId="17" xfId="0" applyFont="1" applyFill="1" applyBorder="1" applyAlignment="1">
      <alignment horizontal="center" vertical="top" wrapText="1"/>
    </xf>
    <xf numFmtId="4" fontId="0" fillId="17" borderId="17" xfId="0" applyNumberFormat="1" applyFont="1" applyFill="1" applyBorder="1" applyAlignment="1">
      <alignment horizontal="center" vertical="top" wrapText="1"/>
    </xf>
    <xf numFmtId="164" fontId="3" fillId="0" borderId="0" xfId="0" applyNumberFormat="1" applyFont="1" applyAlignment="1">
      <alignment horizontal="right" vertical="top" wrapText="1"/>
    </xf>
    <xf numFmtId="0" fontId="3" fillId="0" borderId="0" xfId="0" applyFont="1" applyAlignment="1">
      <alignment vertical="top" wrapText="1"/>
    </xf>
    <xf numFmtId="4" fontId="3" fillId="0" borderId="0" xfId="0" applyNumberFormat="1" applyFont="1" applyAlignment="1">
      <alignment vertical="top" wrapText="1"/>
    </xf>
    <xf numFmtId="0" fontId="3" fillId="14" borderId="0" xfId="0" applyFont="1" applyFill="1" applyAlignment="1">
      <alignment vertical="top" wrapText="1"/>
    </xf>
    <xf numFmtId="0" fontId="3" fillId="14" borderId="0" xfId="0" applyFont="1" applyFill="1" applyAlignment="1">
      <alignment horizontal="center" vertical="top" wrapText="1"/>
    </xf>
    <xf numFmtId="4" fontId="3" fillId="14" borderId="0" xfId="0" applyNumberFormat="1" applyFont="1" applyFill="1" applyAlignment="1">
      <alignment vertical="top" wrapText="1"/>
    </xf>
    <xf numFmtId="44" fontId="3" fillId="14" borderId="21" xfId="2"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0" fillId="0" borderId="0" xfId="0" applyFont="1" applyAlignment="1">
      <alignment horizontal="center"/>
    </xf>
    <xf numFmtId="0" fontId="0" fillId="15" borderId="0" xfId="0" applyFont="1" applyFill="1"/>
    <xf numFmtId="0" fontId="0" fillId="14" borderId="0" xfId="0" applyFont="1" applyFill="1"/>
    <xf numFmtId="0" fontId="0" fillId="14" borderId="0" xfId="0" applyFont="1" applyFill="1" applyAlignment="1">
      <alignment horizontal="center"/>
    </xf>
    <xf numFmtId="0" fontId="4" fillId="0" borderId="0" xfId="0" applyFont="1" applyFill="1" applyAlignment="1">
      <alignment horizontal="center" vertical="top"/>
    </xf>
    <xf numFmtId="0" fontId="4" fillId="0" borderId="0" xfId="0" applyFont="1" applyFill="1" applyAlignment="1">
      <alignment vertical="top" wrapText="1"/>
    </xf>
    <xf numFmtId="0" fontId="4" fillId="0" borderId="0" xfId="0" applyFont="1" applyFill="1"/>
    <xf numFmtId="0" fontId="19" fillId="7" borderId="0" xfId="0" applyFont="1" applyFill="1" applyAlignment="1">
      <alignment horizontal="left" vertical="top" wrapText="1"/>
    </xf>
    <xf numFmtId="2" fontId="19" fillId="7" borderId="0" xfId="0" applyNumberFormat="1" applyFont="1" applyFill="1" applyAlignment="1">
      <alignment horizontal="left" vertical="top" wrapText="1"/>
    </xf>
    <xf numFmtId="2" fontId="3" fillId="7" borderId="0" xfId="0" applyNumberFormat="1" applyFont="1" applyFill="1" applyAlignment="1">
      <alignment horizontal="right" vertical="top" wrapText="1"/>
    </xf>
    <xf numFmtId="44" fontId="0" fillId="0" borderId="0" xfId="0" applyNumberFormat="1" applyFont="1" applyAlignment="1">
      <alignment vertical="top"/>
    </xf>
    <xf numFmtId="164" fontId="0" fillId="0" borderId="0" xfId="0" applyNumberFormat="1" applyFont="1" applyAlignment="1">
      <alignment vertical="top"/>
    </xf>
    <xf numFmtId="2" fontId="4" fillId="0" borderId="0" xfId="1" applyNumberFormat="1" applyFont="1" applyBorder="1" applyAlignment="1">
      <alignment horizontal="left"/>
    </xf>
    <xf numFmtId="0" fontId="2" fillId="14" borderId="13" xfId="0" applyFont="1" applyFill="1" applyBorder="1" applyAlignment="1">
      <alignment horizont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16" xfId="0" applyFont="1" applyFill="1" applyBorder="1" applyAlignment="1">
      <alignment horizontal="center" vertical="top" wrapText="1"/>
    </xf>
    <xf numFmtId="4" fontId="4" fillId="0" borderId="0" xfId="0" applyNumberFormat="1" applyFont="1" applyAlignment="1">
      <alignment horizontal="left" vertical="center"/>
    </xf>
    <xf numFmtId="0" fontId="17" fillId="16" borderId="0" xfId="0" applyFont="1" applyFill="1" applyAlignment="1">
      <alignment horizontal="left" vertical="top" wrapText="1"/>
    </xf>
  </cellXfs>
  <cellStyles count="10">
    <cellStyle name="Moeda" xfId="2" builtinId="4"/>
    <cellStyle name="Moeda 2" xfId="8"/>
    <cellStyle name="Normal" xfId="0" builtinId="0"/>
    <cellStyle name="Normal 10" xfId="4"/>
    <cellStyle name="Normal 5" xfId="9"/>
    <cellStyle name="Porcentagem" xfId="3" builtinId="5"/>
    <cellStyle name="Porcentagem 2" xfId="6"/>
    <cellStyle name="Porcentagem 2 2" xfId="7"/>
    <cellStyle name="Separador de milhares 10" xfId="5"/>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0</xdr:colOff>
          <xdr:row>621</xdr:row>
          <xdr:rowOff>7620</xdr:rowOff>
        </xdr:from>
        <xdr:to>
          <xdr:col>11</xdr:col>
          <xdr:colOff>0</xdr:colOff>
          <xdr:row>622</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674</xdr:row>
          <xdr:rowOff>7620</xdr:rowOff>
        </xdr:from>
        <xdr:to>
          <xdr:col>11</xdr:col>
          <xdr:colOff>0</xdr:colOff>
          <xdr:row>675</xdr:row>
          <xdr:rowOff>114300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708</xdr:row>
          <xdr:rowOff>7620</xdr:rowOff>
        </xdr:from>
        <xdr:to>
          <xdr:col>11</xdr:col>
          <xdr:colOff>0</xdr:colOff>
          <xdr:row>709</xdr:row>
          <xdr:rowOff>114300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zimbra02.tjsc.jus.br/04_TRIBUNAL_JUSTI&#199;A/03_PROJETOS/01_LICITA&#199;&#213;ES/2013_ARQUIVO_CENTRAL_PALHOCA_REFORMA/CD2014out23/OR&#199;AMENTOS/ComDesoneracao/ArquivoCentral%202014out23FinalCom%20Desoneraca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ÇÕES"/>
      <sheetName val="1-PrecosInsumos"/>
      <sheetName val="2-Planilha Orçamentária"/>
      <sheetName val="3-ComposicoesUnitarias"/>
    </sheetNames>
    <sheetDataSet>
      <sheetData sheetId="0"/>
      <sheetData sheetId="1"/>
      <sheetData sheetId="2"/>
      <sheetData sheetId="3">
        <row r="7">
          <cell r="L7">
            <v>0.13769999999999999</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4"/>
  <sheetViews>
    <sheetView tabSelected="1" showOutlineSymbols="0" showWhiteSpace="0" view="pageBreakPreview" zoomScale="85" zoomScaleNormal="85" zoomScaleSheetLayoutView="85" workbookViewId="0">
      <pane ySplit="9" topLeftCell="A10" activePane="bottomLeft" state="frozen"/>
      <selection pane="bottomLeft" activeCell="D690" sqref="D690"/>
    </sheetView>
  </sheetViews>
  <sheetFormatPr defaultColWidth="9" defaultRowHeight="13.8" x14ac:dyDescent="0.25"/>
  <cols>
    <col min="1" max="1" width="10" style="333" bestFit="1" customWidth="1"/>
    <col min="2" max="2" width="13" style="407" customWidth="1"/>
    <col min="3" max="3" width="10" style="407" bestFit="1" customWidth="1"/>
    <col min="4" max="4" width="60" style="333" bestFit="1" customWidth="1"/>
    <col min="5" max="5" width="8" style="333" customWidth="1"/>
    <col min="6" max="6" width="10" style="333" bestFit="1" customWidth="1"/>
    <col min="7" max="7" width="12.69921875" style="333" customWidth="1"/>
    <col min="8" max="9" width="12.19921875" style="333" customWidth="1"/>
    <col min="10" max="10" width="15.3984375" style="333" customWidth="1"/>
    <col min="11" max="11" width="16.3984375" style="333" customWidth="1"/>
    <col min="12" max="12" width="18.3984375" style="333" customWidth="1"/>
    <col min="13" max="13" width="9" style="333"/>
    <col min="14" max="14" width="14.8984375" style="333" customWidth="1"/>
    <col min="15" max="15" width="9" style="333"/>
    <col min="16" max="17" width="15.69921875" style="333" bestFit="1" customWidth="1"/>
    <col min="18" max="16384" width="9" style="333"/>
  </cols>
  <sheetData>
    <row r="1" spans="1:14" x14ac:dyDescent="0.25">
      <c r="A1" s="1" t="s">
        <v>1</v>
      </c>
      <c r="B1" s="5"/>
      <c r="C1" s="5"/>
      <c r="D1" s="1" t="s">
        <v>267</v>
      </c>
      <c r="E1" s="1"/>
      <c r="F1" s="2"/>
      <c r="G1" s="2"/>
      <c r="H1" s="2"/>
      <c r="I1" s="2"/>
      <c r="J1" s="2"/>
      <c r="K1" s="2"/>
      <c r="L1" s="2"/>
    </row>
    <row r="2" spans="1:14" x14ac:dyDescent="0.25">
      <c r="A2" s="1" t="s">
        <v>568</v>
      </c>
      <c r="B2" s="5"/>
      <c r="C2" s="5"/>
      <c r="D2" s="1" t="s">
        <v>1219</v>
      </c>
      <c r="E2" s="1" t="s">
        <v>976</v>
      </c>
      <c r="F2" s="2"/>
      <c r="G2" s="2"/>
      <c r="H2" s="2"/>
      <c r="I2" s="1" t="s">
        <v>981</v>
      </c>
      <c r="J2" s="2"/>
      <c r="K2" s="2"/>
      <c r="L2" s="2"/>
    </row>
    <row r="3" spans="1:14" x14ac:dyDescent="0.25">
      <c r="A3" s="3"/>
      <c r="B3" s="5"/>
      <c r="C3" s="5"/>
      <c r="D3" s="1" t="s">
        <v>1220</v>
      </c>
      <c r="E3" s="1" t="s">
        <v>977</v>
      </c>
      <c r="F3" s="2"/>
      <c r="G3" s="2"/>
      <c r="H3" s="2"/>
      <c r="I3" s="1" t="s">
        <v>980</v>
      </c>
      <c r="J3" s="2"/>
      <c r="K3" s="2"/>
      <c r="L3" s="2"/>
    </row>
    <row r="4" spans="1:14" x14ac:dyDescent="0.25">
      <c r="A4" s="3"/>
      <c r="B4" s="5"/>
      <c r="C4" s="5"/>
      <c r="D4" s="1" t="s">
        <v>1221</v>
      </c>
      <c r="E4" s="1" t="s">
        <v>979</v>
      </c>
      <c r="F4" s="2"/>
      <c r="G4" s="2"/>
      <c r="H4" s="2"/>
      <c r="I4" s="1" t="s">
        <v>982</v>
      </c>
      <c r="J4" s="2"/>
      <c r="K4" s="2"/>
      <c r="L4" s="2"/>
    </row>
    <row r="5" spans="1:14" x14ac:dyDescent="0.25">
      <c r="A5" s="4" t="s">
        <v>0</v>
      </c>
      <c r="B5" s="5"/>
      <c r="C5" s="5"/>
      <c r="D5" s="1" t="s">
        <v>974</v>
      </c>
      <c r="E5" s="1" t="s">
        <v>978</v>
      </c>
      <c r="F5" s="2"/>
      <c r="G5" s="2"/>
      <c r="H5" s="2"/>
      <c r="I5" s="1"/>
      <c r="J5" s="2"/>
      <c r="K5" s="2"/>
      <c r="L5" s="2"/>
    </row>
    <row r="6" spans="1:14" x14ac:dyDescent="0.25">
      <c r="A6" s="4" t="s">
        <v>584</v>
      </c>
      <c r="B6" s="5"/>
      <c r="C6" s="5"/>
      <c r="D6" s="1" t="s">
        <v>975</v>
      </c>
      <c r="E6" s="4" t="s">
        <v>983</v>
      </c>
      <c r="F6" s="2"/>
      <c r="G6" s="2"/>
      <c r="H6" s="2"/>
      <c r="I6" s="4"/>
      <c r="J6" s="2"/>
      <c r="K6" s="2"/>
      <c r="L6" s="2"/>
    </row>
    <row r="7" spans="1:14" x14ac:dyDescent="0.25">
      <c r="A7" s="420" t="s">
        <v>2</v>
      </c>
      <c r="B7" s="420"/>
      <c r="C7" s="420"/>
      <c r="D7" s="420"/>
      <c r="E7" s="420"/>
      <c r="F7" s="420"/>
      <c r="G7" s="420"/>
      <c r="H7" s="420"/>
      <c r="I7" s="420"/>
      <c r="J7" s="420"/>
      <c r="K7" s="420"/>
      <c r="L7" s="420"/>
    </row>
    <row r="8" spans="1:14" x14ac:dyDescent="0.25">
      <c r="A8" s="421" t="s">
        <v>3</v>
      </c>
      <c r="B8" s="423" t="s">
        <v>4</v>
      </c>
      <c r="C8" s="425" t="s">
        <v>5</v>
      </c>
      <c r="D8" s="421" t="s">
        <v>6</v>
      </c>
      <c r="E8" s="427" t="s">
        <v>7</v>
      </c>
      <c r="F8" s="423" t="s">
        <v>8</v>
      </c>
      <c r="G8" s="429" t="s">
        <v>268</v>
      </c>
      <c r="H8" s="430"/>
      <c r="I8" s="431"/>
      <c r="J8" s="429" t="s">
        <v>9</v>
      </c>
      <c r="K8" s="430"/>
      <c r="L8" s="431"/>
    </row>
    <row r="9" spans="1:14" x14ac:dyDescent="0.25">
      <c r="A9" s="422"/>
      <c r="B9" s="424"/>
      <c r="C9" s="426"/>
      <c r="D9" s="422"/>
      <c r="E9" s="428"/>
      <c r="F9" s="424"/>
      <c r="G9" s="205" t="s">
        <v>11</v>
      </c>
      <c r="H9" s="205" t="s">
        <v>10</v>
      </c>
      <c r="I9" s="205" t="s">
        <v>9</v>
      </c>
      <c r="J9" s="205" t="s">
        <v>11</v>
      </c>
      <c r="K9" s="205" t="s">
        <v>10</v>
      </c>
      <c r="L9" s="205" t="s">
        <v>9</v>
      </c>
    </row>
    <row r="10" spans="1:14" x14ac:dyDescent="0.25">
      <c r="A10" s="206">
        <v>1</v>
      </c>
      <c r="B10" s="335"/>
      <c r="C10" s="335"/>
      <c r="D10" s="206" t="s">
        <v>12</v>
      </c>
      <c r="E10" s="206"/>
      <c r="F10" s="336"/>
      <c r="G10" s="206"/>
      <c r="H10" s="206"/>
      <c r="I10" s="206"/>
      <c r="J10" s="206"/>
      <c r="K10" s="206"/>
      <c r="L10" s="337">
        <f>L11+L14+L20+L26+L32</f>
        <v>0</v>
      </c>
    </row>
    <row r="11" spans="1:14" s="341" customFormat="1" x14ac:dyDescent="0.25">
      <c r="A11" s="207" t="s">
        <v>13</v>
      </c>
      <c r="B11" s="338"/>
      <c r="C11" s="338"/>
      <c r="D11" s="207" t="s">
        <v>14</v>
      </c>
      <c r="E11" s="207"/>
      <c r="F11" s="339"/>
      <c r="G11" s="207"/>
      <c r="H11" s="207"/>
      <c r="I11" s="207"/>
      <c r="J11" s="207"/>
      <c r="K11" s="207"/>
      <c r="L11" s="340">
        <f>SUM(L12:L13)</f>
        <v>0</v>
      </c>
    </row>
    <row r="12" spans="1:14" s="347" customFormat="1" ht="26.4" x14ac:dyDescent="0.25">
      <c r="A12" s="342" t="s">
        <v>15</v>
      </c>
      <c r="B12" s="343"/>
      <c r="C12" s="344"/>
      <c r="D12" s="342" t="s">
        <v>16</v>
      </c>
      <c r="E12" s="345" t="s">
        <v>17</v>
      </c>
      <c r="F12" s="346">
        <v>405.74</v>
      </c>
      <c r="G12" s="327"/>
      <c r="H12" s="327"/>
      <c r="I12" s="327">
        <f t="shared" ref="I12:I13" si="0">TRUNC(SUM(G12:H12),2)</f>
        <v>0</v>
      </c>
      <c r="J12" s="327">
        <f t="shared" ref="J12:J13" si="1">TRUNC(F12*G12,2)</f>
        <v>0</v>
      </c>
      <c r="K12" s="327">
        <f t="shared" ref="K12:K13" si="2">TRUNC(F12*H12,2)</f>
        <v>0</v>
      </c>
      <c r="L12" s="327">
        <f t="shared" ref="L12:L13" si="3">TRUNC(SUM(J12,K12),2)</f>
        <v>0</v>
      </c>
      <c r="N12" s="348"/>
    </row>
    <row r="13" spans="1:14" ht="26.4" x14ac:dyDescent="0.25">
      <c r="A13" s="325" t="s">
        <v>556</v>
      </c>
      <c r="B13" s="349"/>
      <c r="C13" s="350"/>
      <c r="D13" s="351" t="s">
        <v>557</v>
      </c>
      <c r="E13" s="352" t="s">
        <v>217</v>
      </c>
      <c r="F13" s="324">
        <v>1</v>
      </c>
      <c r="G13" s="212"/>
      <c r="H13" s="212"/>
      <c r="I13" s="208">
        <f t="shared" si="0"/>
        <v>0</v>
      </c>
      <c r="J13" s="208">
        <f t="shared" si="1"/>
        <v>0</v>
      </c>
      <c r="K13" s="208">
        <f t="shared" si="2"/>
        <v>0</v>
      </c>
      <c r="L13" s="208">
        <f t="shared" si="3"/>
        <v>0</v>
      </c>
      <c r="N13" s="353"/>
    </row>
    <row r="14" spans="1:14" s="341" customFormat="1" x14ac:dyDescent="0.25">
      <c r="A14" s="207" t="s">
        <v>18</v>
      </c>
      <c r="B14" s="338"/>
      <c r="C14" s="338"/>
      <c r="D14" s="207" t="s">
        <v>19</v>
      </c>
      <c r="E14" s="207"/>
      <c r="F14" s="326"/>
      <c r="G14" s="209"/>
      <c r="H14" s="209"/>
      <c r="I14" s="209"/>
      <c r="J14" s="209"/>
      <c r="K14" s="209"/>
      <c r="L14" s="340">
        <f>SUM(L15:L19)</f>
        <v>0</v>
      </c>
      <c r="N14" s="353"/>
    </row>
    <row r="15" spans="1:14" s="347" customFormat="1" ht="26.4" x14ac:dyDescent="0.25">
      <c r="A15" s="342" t="s">
        <v>20</v>
      </c>
      <c r="B15" s="343"/>
      <c r="C15" s="344"/>
      <c r="D15" s="342" t="s">
        <v>21</v>
      </c>
      <c r="E15" s="345" t="s">
        <v>17</v>
      </c>
      <c r="F15" s="346">
        <v>6</v>
      </c>
      <c r="G15" s="327"/>
      <c r="H15" s="327"/>
      <c r="I15" s="327">
        <f t="shared" ref="I15:I18" si="4">TRUNC(SUM(G15:H15),2)</f>
        <v>0</v>
      </c>
      <c r="J15" s="327">
        <f t="shared" ref="J15:J18" si="5">TRUNC(F15*G15,2)</f>
        <v>0</v>
      </c>
      <c r="K15" s="327">
        <f t="shared" ref="K15:K18" si="6">TRUNC(F15*H15,2)</f>
        <v>0</v>
      </c>
      <c r="L15" s="327">
        <f t="shared" ref="L15:L18" si="7">TRUNC(SUM(J15,K15),2)</f>
        <v>0</v>
      </c>
    </row>
    <row r="16" spans="1:14" s="347" customFormat="1" ht="39.6" x14ac:dyDescent="0.25">
      <c r="A16" s="342" t="s">
        <v>713</v>
      </c>
      <c r="B16" s="354"/>
      <c r="C16" s="344"/>
      <c r="D16" s="342" t="s">
        <v>23</v>
      </c>
      <c r="E16" s="345" t="s">
        <v>17</v>
      </c>
      <c r="F16" s="346">
        <v>10</v>
      </c>
      <c r="G16" s="327"/>
      <c r="H16" s="327"/>
      <c r="I16" s="327">
        <f>TRUNC(SUM(G16:H16),2)</f>
        <v>0</v>
      </c>
      <c r="J16" s="327">
        <f>TRUNC(F16*G16,2)</f>
        <v>0</v>
      </c>
      <c r="K16" s="327">
        <f>TRUNC(F16*H16,2)</f>
        <v>0</v>
      </c>
      <c r="L16" s="327">
        <f>TRUNC(SUM(J16,K16),2)</f>
        <v>0</v>
      </c>
    </row>
    <row r="17" spans="1:14" s="347" customFormat="1" ht="39.6" x14ac:dyDescent="0.25">
      <c r="A17" s="342" t="s">
        <v>714</v>
      </c>
      <c r="B17" s="354"/>
      <c r="C17" s="344"/>
      <c r="D17" s="342" t="s">
        <v>25</v>
      </c>
      <c r="E17" s="345" t="s">
        <v>17</v>
      </c>
      <c r="F17" s="346">
        <v>5</v>
      </c>
      <c r="G17" s="327"/>
      <c r="H17" s="327"/>
      <c r="I17" s="327">
        <f t="shared" si="4"/>
        <v>0</v>
      </c>
      <c r="J17" s="327">
        <f t="shared" si="5"/>
        <v>0</v>
      </c>
      <c r="K17" s="327">
        <f t="shared" si="6"/>
        <v>0</v>
      </c>
      <c r="L17" s="327">
        <f t="shared" si="7"/>
        <v>0</v>
      </c>
    </row>
    <row r="18" spans="1:14" s="347" customFormat="1" ht="39.6" x14ac:dyDescent="0.25">
      <c r="A18" s="342" t="s">
        <v>715</v>
      </c>
      <c r="B18" s="354"/>
      <c r="C18" s="344"/>
      <c r="D18" s="342" t="s">
        <v>26</v>
      </c>
      <c r="E18" s="345" t="s">
        <v>17</v>
      </c>
      <c r="F18" s="346">
        <v>5</v>
      </c>
      <c r="G18" s="327"/>
      <c r="H18" s="327"/>
      <c r="I18" s="327">
        <f t="shared" si="4"/>
        <v>0</v>
      </c>
      <c r="J18" s="327">
        <f t="shared" si="5"/>
        <v>0</v>
      </c>
      <c r="K18" s="327">
        <f t="shared" si="6"/>
        <v>0</v>
      </c>
      <c r="L18" s="327">
        <f t="shared" si="7"/>
        <v>0</v>
      </c>
    </row>
    <row r="19" spans="1:14" s="347" customFormat="1" ht="39.6" x14ac:dyDescent="0.25">
      <c r="A19" s="342" t="s">
        <v>716</v>
      </c>
      <c r="B19" s="354"/>
      <c r="C19" s="344"/>
      <c r="D19" s="342" t="s">
        <v>24</v>
      </c>
      <c r="E19" s="345" t="s">
        <v>17</v>
      </c>
      <c r="F19" s="346">
        <v>10</v>
      </c>
      <c r="G19" s="327"/>
      <c r="H19" s="327"/>
      <c r="I19" s="327">
        <f>TRUNC(SUM(G19:H19),2)</f>
        <v>0</v>
      </c>
      <c r="J19" s="327">
        <f>TRUNC(F19*G19,2)</f>
        <v>0</v>
      </c>
      <c r="K19" s="327">
        <f>TRUNC(F19*H19,2)</f>
        <v>0</v>
      </c>
      <c r="L19" s="327">
        <f>TRUNC(SUM(J19,K19),2)</f>
        <v>0</v>
      </c>
    </row>
    <row r="20" spans="1:14" s="341" customFormat="1" x14ac:dyDescent="0.25">
      <c r="A20" s="207" t="s">
        <v>27</v>
      </c>
      <c r="B20" s="338"/>
      <c r="C20" s="338"/>
      <c r="D20" s="207" t="s">
        <v>28</v>
      </c>
      <c r="E20" s="207"/>
      <c r="F20" s="326"/>
      <c r="G20" s="209"/>
      <c r="H20" s="209"/>
      <c r="I20" s="209"/>
      <c r="J20" s="209"/>
      <c r="K20" s="209"/>
      <c r="L20" s="340">
        <f>SUM(L21:L25)</f>
        <v>0</v>
      </c>
      <c r="N20" s="355"/>
    </row>
    <row r="21" spans="1:14" s="347" customFormat="1" x14ac:dyDescent="0.25">
      <c r="A21" s="356" t="s">
        <v>29</v>
      </c>
      <c r="B21" s="357"/>
      <c r="C21" s="358"/>
      <c r="D21" s="356" t="s">
        <v>30</v>
      </c>
      <c r="E21" s="359" t="s">
        <v>217</v>
      </c>
      <c r="F21" s="360">
        <v>2</v>
      </c>
      <c r="G21" s="328"/>
      <c r="H21" s="328"/>
      <c r="I21" s="327">
        <f t="shared" ref="I21:I25" si="8">TRUNC(SUM(G21:H21),2)</f>
        <v>0</v>
      </c>
      <c r="J21" s="327">
        <f t="shared" ref="J21:J25" si="9">TRUNC(F21*G21,2)</f>
        <v>0</v>
      </c>
      <c r="K21" s="327">
        <f t="shared" ref="K21:K25" si="10">TRUNC(F21*H21,2)</f>
        <v>0</v>
      </c>
      <c r="L21" s="327">
        <f t="shared" ref="L21:L25" si="11">TRUNC(SUM(J21,K21),2)</f>
        <v>0</v>
      </c>
    </row>
    <row r="22" spans="1:14" s="347" customFormat="1" ht="26.4" x14ac:dyDescent="0.25">
      <c r="A22" s="356" t="s">
        <v>558</v>
      </c>
      <c r="B22" s="343"/>
      <c r="C22" s="344"/>
      <c r="D22" s="342" t="s">
        <v>1003</v>
      </c>
      <c r="E22" s="345" t="s">
        <v>32</v>
      </c>
      <c r="F22" s="346">
        <f>6*22*10</f>
        <v>1320</v>
      </c>
      <c r="G22" s="327"/>
      <c r="H22" s="327"/>
      <c r="I22" s="327">
        <f t="shared" si="8"/>
        <v>0</v>
      </c>
      <c r="J22" s="327">
        <f t="shared" si="9"/>
        <v>0</v>
      </c>
      <c r="K22" s="327">
        <f t="shared" si="10"/>
        <v>0</v>
      </c>
      <c r="L22" s="327">
        <f t="shared" si="11"/>
        <v>0</v>
      </c>
    </row>
    <row r="23" spans="1:14" s="347" customFormat="1" ht="26.4" x14ac:dyDescent="0.25">
      <c r="A23" s="356" t="s">
        <v>559</v>
      </c>
      <c r="B23" s="354"/>
      <c r="C23" s="344"/>
      <c r="D23" s="342" t="s">
        <v>1004</v>
      </c>
      <c r="E23" s="345" t="s">
        <v>32</v>
      </c>
      <c r="F23" s="346">
        <f>3*22*10</f>
        <v>660</v>
      </c>
      <c r="G23" s="327"/>
      <c r="H23" s="327"/>
      <c r="I23" s="327">
        <f t="shared" si="8"/>
        <v>0</v>
      </c>
      <c r="J23" s="327">
        <f t="shared" si="9"/>
        <v>0</v>
      </c>
      <c r="K23" s="327">
        <f t="shared" si="10"/>
        <v>0</v>
      </c>
      <c r="L23" s="327">
        <f t="shared" si="11"/>
        <v>0</v>
      </c>
    </row>
    <row r="24" spans="1:14" s="347" customFormat="1" ht="26.4" x14ac:dyDescent="0.25">
      <c r="A24" s="356" t="s">
        <v>560</v>
      </c>
      <c r="B24" s="361"/>
      <c r="C24" s="361"/>
      <c r="D24" s="362" t="s">
        <v>1005</v>
      </c>
      <c r="E24" s="361" t="s">
        <v>32</v>
      </c>
      <c r="F24" s="346">
        <f>3*22*10</f>
        <v>660</v>
      </c>
      <c r="G24" s="328"/>
      <c r="H24" s="328"/>
      <c r="I24" s="327">
        <f t="shared" si="8"/>
        <v>0</v>
      </c>
      <c r="J24" s="327">
        <f t="shared" si="9"/>
        <v>0</v>
      </c>
      <c r="K24" s="327">
        <f t="shared" si="10"/>
        <v>0</v>
      </c>
      <c r="L24" s="327">
        <f t="shared" si="11"/>
        <v>0</v>
      </c>
    </row>
    <row r="25" spans="1:14" s="347" customFormat="1" x14ac:dyDescent="0.25">
      <c r="A25" s="356" t="s">
        <v>561</v>
      </c>
      <c r="B25" s="343"/>
      <c r="C25" s="344"/>
      <c r="D25" s="342" t="s">
        <v>33</v>
      </c>
      <c r="E25" s="345" t="s">
        <v>843</v>
      </c>
      <c r="F25" s="346">
        <v>10</v>
      </c>
      <c r="G25" s="327"/>
      <c r="H25" s="327"/>
      <c r="I25" s="327">
        <f t="shared" si="8"/>
        <v>0</v>
      </c>
      <c r="J25" s="327">
        <f t="shared" si="9"/>
        <v>0</v>
      </c>
      <c r="K25" s="327">
        <f t="shared" si="10"/>
        <v>0</v>
      </c>
      <c r="L25" s="327">
        <f t="shared" si="11"/>
        <v>0</v>
      </c>
    </row>
    <row r="26" spans="1:14" s="341" customFormat="1" x14ac:dyDescent="0.25">
      <c r="A26" s="207" t="s">
        <v>34</v>
      </c>
      <c r="B26" s="338"/>
      <c r="C26" s="338"/>
      <c r="D26" s="207" t="s">
        <v>35</v>
      </c>
      <c r="E26" s="207"/>
      <c r="F26" s="326"/>
      <c r="G26" s="209"/>
      <c r="H26" s="209"/>
      <c r="I26" s="209"/>
      <c r="J26" s="209"/>
      <c r="K26" s="209"/>
      <c r="L26" s="340">
        <f>SUM(L27:L31)</f>
        <v>0</v>
      </c>
    </row>
    <row r="27" spans="1:14" s="347" customFormat="1" x14ac:dyDescent="0.25">
      <c r="A27" s="342" t="s">
        <v>36</v>
      </c>
      <c r="B27" s="354"/>
      <c r="C27" s="344"/>
      <c r="D27" s="342" t="s">
        <v>37</v>
      </c>
      <c r="E27" s="345" t="s">
        <v>17</v>
      </c>
      <c r="F27" s="346">
        <f>F12</f>
        <v>405.74</v>
      </c>
      <c r="G27" s="327"/>
      <c r="H27" s="327"/>
      <c r="I27" s="327">
        <f t="shared" ref="I27:I31" si="12">TRUNC(SUM(G27:H27),2)</f>
        <v>0</v>
      </c>
      <c r="J27" s="327">
        <f t="shared" ref="J27:J31" si="13">TRUNC(F27*G27,2)</f>
        <v>0</v>
      </c>
      <c r="K27" s="327">
        <f t="shared" ref="K27:K31" si="14">TRUNC(F27*H27,2)</f>
        <v>0</v>
      </c>
      <c r="L27" s="327">
        <f t="shared" ref="L27:L31" si="15">TRUNC(SUM(J27,K27),2)</f>
        <v>0</v>
      </c>
    </row>
    <row r="28" spans="1:14" s="347" customFormat="1" x14ac:dyDescent="0.25">
      <c r="A28" s="342" t="s">
        <v>38</v>
      </c>
      <c r="B28" s="354"/>
      <c r="C28" s="344"/>
      <c r="D28" s="342" t="s">
        <v>39</v>
      </c>
      <c r="E28" s="345" t="s">
        <v>17</v>
      </c>
      <c r="F28" s="346">
        <f>F12</f>
        <v>405.74</v>
      </c>
      <c r="G28" s="327"/>
      <c r="H28" s="327"/>
      <c r="I28" s="327">
        <f t="shared" si="12"/>
        <v>0</v>
      </c>
      <c r="J28" s="327">
        <f t="shared" si="13"/>
        <v>0</v>
      </c>
      <c r="K28" s="327">
        <f t="shared" si="14"/>
        <v>0</v>
      </c>
      <c r="L28" s="327">
        <f t="shared" si="15"/>
        <v>0</v>
      </c>
    </row>
    <row r="29" spans="1:14" s="347" customFormat="1" x14ac:dyDescent="0.25">
      <c r="A29" s="342" t="s">
        <v>40</v>
      </c>
      <c r="B29" s="354"/>
      <c r="C29" s="344"/>
      <c r="D29" s="342" t="s">
        <v>41</v>
      </c>
      <c r="E29" s="345" t="s">
        <v>17</v>
      </c>
      <c r="F29" s="346">
        <f>F12</f>
        <v>405.74</v>
      </c>
      <c r="G29" s="327"/>
      <c r="H29" s="327"/>
      <c r="I29" s="327">
        <f t="shared" si="12"/>
        <v>0</v>
      </c>
      <c r="J29" s="327">
        <f t="shared" si="13"/>
        <v>0</v>
      </c>
      <c r="K29" s="327">
        <f t="shared" si="14"/>
        <v>0</v>
      </c>
      <c r="L29" s="327">
        <f t="shared" si="15"/>
        <v>0</v>
      </c>
    </row>
    <row r="30" spans="1:14" s="347" customFormat="1" x14ac:dyDescent="0.25">
      <c r="A30" s="342" t="s">
        <v>42</v>
      </c>
      <c r="B30" s="354"/>
      <c r="C30" s="344"/>
      <c r="D30" s="342" t="s">
        <v>43</v>
      </c>
      <c r="E30" s="345" t="s">
        <v>17</v>
      </c>
      <c r="F30" s="346">
        <f>F12</f>
        <v>405.74</v>
      </c>
      <c r="G30" s="327"/>
      <c r="H30" s="327"/>
      <c r="I30" s="327">
        <f t="shared" si="12"/>
        <v>0</v>
      </c>
      <c r="J30" s="327">
        <f t="shared" si="13"/>
        <v>0</v>
      </c>
      <c r="K30" s="327">
        <f t="shared" si="14"/>
        <v>0</v>
      </c>
      <c r="L30" s="327">
        <f t="shared" si="15"/>
        <v>0</v>
      </c>
    </row>
    <row r="31" spans="1:14" s="347" customFormat="1" x14ac:dyDescent="0.25">
      <c r="A31" s="342" t="s">
        <v>44</v>
      </c>
      <c r="B31" s="354"/>
      <c r="C31" s="344"/>
      <c r="D31" s="342" t="s">
        <v>45</v>
      </c>
      <c r="E31" s="345" t="s">
        <v>17</v>
      </c>
      <c r="F31" s="346">
        <f>F12</f>
        <v>405.74</v>
      </c>
      <c r="G31" s="327"/>
      <c r="H31" s="327"/>
      <c r="I31" s="327">
        <f t="shared" si="12"/>
        <v>0</v>
      </c>
      <c r="J31" s="327">
        <f t="shared" si="13"/>
        <v>0</v>
      </c>
      <c r="K31" s="327">
        <f t="shared" si="14"/>
        <v>0</v>
      </c>
      <c r="L31" s="327">
        <f t="shared" si="15"/>
        <v>0</v>
      </c>
    </row>
    <row r="32" spans="1:14" s="341" customFormat="1" x14ac:dyDescent="0.25">
      <c r="A32" s="207" t="s">
        <v>46</v>
      </c>
      <c r="B32" s="338"/>
      <c r="C32" s="338"/>
      <c r="D32" s="207" t="s">
        <v>47</v>
      </c>
      <c r="E32" s="207"/>
      <c r="F32" s="326"/>
      <c r="G32" s="209"/>
      <c r="H32" s="209"/>
      <c r="I32" s="209"/>
      <c r="J32" s="209"/>
      <c r="K32" s="209"/>
      <c r="L32" s="363">
        <f>SUM(L33)</f>
        <v>0</v>
      </c>
    </row>
    <row r="33" spans="1:12" s="347" customFormat="1" x14ac:dyDescent="0.25">
      <c r="A33" s="342" t="s">
        <v>48</v>
      </c>
      <c r="B33" s="354"/>
      <c r="C33" s="344"/>
      <c r="D33" s="342" t="s">
        <v>49</v>
      </c>
      <c r="E33" s="345" t="s">
        <v>843</v>
      </c>
      <c r="F33" s="346">
        <v>10</v>
      </c>
      <c r="G33" s="327"/>
      <c r="H33" s="327"/>
      <c r="I33" s="327">
        <f t="shared" ref="I33" si="16">TRUNC(SUM(G33:H33),2)</f>
        <v>0</v>
      </c>
      <c r="J33" s="327">
        <f t="shared" ref="J33" si="17">TRUNC(F33*G33,2)</f>
        <v>0</v>
      </c>
      <c r="K33" s="327">
        <f t="shared" ref="K33" si="18">TRUNC(F33*H33,2)</f>
        <v>0</v>
      </c>
      <c r="L33" s="327">
        <f t="shared" ref="L33" si="19">TRUNC(SUM(J33,K33),2)</f>
        <v>0</v>
      </c>
    </row>
    <row r="34" spans="1:12" x14ac:dyDescent="0.25">
      <c r="A34" s="364"/>
      <c r="B34" s="365"/>
      <c r="C34" s="366"/>
      <c r="D34" s="367" t="s">
        <v>324</v>
      </c>
      <c r="E34" s="368" t="s">
        <v>325</v>
      </c>
      <c r="F34" s="369"/>
      <c r="G34" s="370"/>
      <c r="H34" s="370"/>
      <c r="I34" s="370"/>
      <c r="J34" s="371">
        <f>SUM(J12:J33)</f>
        <v>0</v>
      </c>
      <c r="K34" s="371">
        <f>SUM(K12:K33)</f>
        <v>0</v>
      </c>
      <c r="L34" s="370"/>
    </row>
    <row r="35" spans="1:12" x14ac:dyDescent="0.25">
      <c r="A35" s="372"/>
      <c r="B35" s="373"/>
      <c r="C35" s="373"/>
      <c r="D35" s="372" t="s">
        <v>325</v>
      </c>
      <c r="E35" s="373" t="s">
        <v>325</v>
      </c>
      <c r="F35" s="374"/>
      <c r="G35" s="375"/>
      <c r="H35" s="375"/>
      <c r="I35" s="375"/>
      <c r="J35" s="376"/>
      <c r="K35" s="376">
        <f>SUM(J34:K34)</f>
        <v>0</v>
      </c>
      <c r="L35" s="375"/>
    </row>
    <row r="36" spans="1:12" x14ac:dyDescent="0.25">
      <c r="A36" s="206">
        <v>2</v>
      </c>
      <c r="B36" s="335"/>
      <c r="C36" s="335"/>
      <c r="D36" s="206" t="s">
        <v>270</v>
      </c>
      <c r="E36" s="206"/>
      <c r="F36" s="377"/>
      <c r="G36" s="210"/>
      <c r="H36" s="210"/>
      <c r="I36" s="210"/>
      <c r="J36" s="210"/>
      <c r="K36" s="210"/>
      <c r="L36" s="337">
        <f>L37</f>
        <v>0</v>
      </c>
    </row>
    <row r="37" spans="1:12" s="341" customFormat="1" x14ac:dyDescent="0.25">
      <c r="A37" s="207" t="s">
        <v>50</v>
      </c>
      <c r="B37" s="338"/>
      <c r="C37" s="338"/>
      <c r="D37" s="207" t="s">
        <v>51</v>
      </c>
      <c r="E37" s="207"/>
      <c r="F37" s="326"/>
      <c r="G37" s="209"/>
      <c r="H37" s="209"/>
      <c r="I37" s="209"/>
      <c r="J37" s="209"/>
      <c r="K37" s="209"/>
      <c r="L37" s="340">
        <f>SUM(L38:L52)</f>
        <v>0</v>
      </c>
    </row>
    <row r="38" spans="1:12" s="347" customFormat="1" ht="26.4" x14ac:dyDescent="0.25">
      <c r="A38" s="342" t="s">
        <v>52</v>
      </c>
      <c r="B38" s="343"/>
      <c r="C38" s="344"/>
      <c r="D38" s="342" t="s">
        <v>53</v>
      </c>
      <c r="E38" s="345" t="s">
        <v>17</v>
      </c>
      <c r="F38" s="346">
        <f>85.02+72.35+100.11</f>
        <v>257.48</v>
      </c>
      <c r="G38" s="327"/>
      <c r="H38" s="327"/>
      <c r="I38" s="327">
        <f t="shared" ref="I38:I49" si="20">TRUNC(SUM(G38:H38),2)</f>
        <v>0</v>
      </c>
      <c r="J38" s="327">
        <f t="shared" ref="J38:J49" si="21">TRUNC(F38*G38,2)</f>
        <v>0</v>
      </c>
      <c r="K38" s="327">
        <f t="shared" ref="K38:K49" si="22">TRUNC(F38*H38,2)</f>
        <v>0</v>
      </c>
      <c r="L38" s="327">
        <f t="shared" ref="L38:L49" si="23">TRUNC(SUM(J38,K38),2)</f>
        <v>0</v>
      </c>
    </row>
    <row r="39" spans="1:12" s="347" customFormat="1" ht="26.4" x14ac:dyDescent="0.25">
      <c r="A39" s="342" t="s">
        <v>410</v>
      </c>
      <c r="B39" s="343"/>
      <c r="C39" s="344"/>
      <c r="D39" s="342" t="s">
        <v>54</v>
      </c>
      <c r="E39" s="345" t="s">
        <v>17</v>
      </c>
      <c r="F39" s="346">
        <v>257.48</v>
      </c>
      <c r="G39" s="327"/>
      <c r="H39" s="327"/>
      <c r="I39" s="327">
        <f t="shared" si="20"/>
        <v>0</v>
      </c>
      <c r="J39" s="327">
        <f t="shared" si="21"/>
        <v>0</v>
      </c>
      <c r="K39" s="327">
        <f t="shared" si="22"/>
        <v>0</v>
      </c>
      <c r="L39" s="327">
        <f t="shared" si="23"/>
        <v>0</v>
      </c>
    </row>
    <row r="40" spans="1:12" s="347" customFormat="1" ht="26.4" x14ac:dyDescent="0.25">
      <c r="A40" s="342" t="s">
        <v>411</v>
      </c>
      <c r="B40" s="343"/>
      <c r="C40" s="344"/>
      <c r="D40" s="342" t="s">
        <v>55</v>
      </c>
      <c r="E40" s="345" t="s">
        <v>17</v>
      </c>
      <c r="F40" s="346">
        <f>52.92+14.57</f>
        <v>67.490000000000009</v>
      </c>
      <c r="G40" s="327"/>
      <c r="H40" s="327"/>
      <c r="I40" s="327">
        <f t="shared" si="20"/>
        <v>0</v>
      </c>
      <c r="J40" s="327">
        <f t="shared" si="21"/>
        <v>0</v>
      </c>
      <c r="K40" s="327">
        <f t="shared" si="22"/>
        <v>0</v>
      </c>
      <c r="L40" s="327">
        <f t="shared" si="23"/>
        <v>0</v>
      </c>
    </row>
    <row r="41" spans="1:12" s="347" customFormat="1" ht="26.4" x14ac:dyDescent="0.25">
      <c r="A41" s="342" t="s">
        <v>412</v>
      </c>
      <c r="B41" s="343"/>
      <c r="C41" s="344"/>
      <c r="D41" s="342" t="s">
        <v>56</v>
      </c>
      <c r="E41" s="345" t="s">
        <v>17</v>
      </c>
      <c r="F41" s="346">
        <f>F40</f>
        <v>67.490000000000009</v>
      </c>
      <c r="G41" s="327"/>
      <c r="H41" s="327"/>
      <c r="I41" s="327">
        <f t="shared" si="20"/>
        <v>0</v>
      </c>
      <c r="J41" s="327">
        <f t="shared" si="21"/>
        <v>0</v>
      </c>
      <c r="K41" s="327">
        <f t="shared" si="22"/>
        <v>0</v>
      </c>
      <c r="L41" s="327">
        <f t="shared" si="23"/>
        <v>0</v>
      </c>
    </row>
    <row r="42" spans="1:12" s="347" customFormat="1" ht="26.4" x14ac:dyDescent="0.25">
      <c r="A42" s="342" t="s">
        <v>413</v>
      </c>
      <c r="B42" s="343"/>
      <c r="C42" s="344"/>
      <c r="D42" s="342" t="s">
        <v>57</v>
      </c>
      <c r="E42" s="345" t="s">
        <v>58</v>
      </c>
      <c r="F42" s="346">
        <f>ROUND(0.15*(((5.38+4.25+0.85+3.35+1.95+1.95+4.35)*2.7)+((1.6+1.6+0.8+1.6+1.44+1+0.45)*2.65)+(1*2.1*2)+(1.2*1)+(1.5*2.1)+(1.2*2.1)+(1.45*1.1)+(0.48*1)+(2.15*1)+(1.4*2.1)+(2.6*1))+(((1.9+2.2)*1.25)*0.15),2)</f>
        <v>16.21</v>
      </c>
      <c r="G42" s="327"/>
      <c r="H42" s="327"/>
      <c r="I42" s="327">
        <f t="shared" si="20"/>
        <v>0</v>
      </c>
      <c r="J42" s="327">
        <f t="shared" si="21"/>
        <v>0</v>
      </c>
      <c r="K42" s="327">
        <f t="shared" si="22"/>
        <v>0</v>
      </c>
      <c r="L42" s="327">
        <f t="shared" si="23"/>
        <v>0</v>
      </c>
    </row>
    <row r="43" spans="1:12" s="347" customFormat="1" ht="26.4" x14ac:dyDescent="0.25">
      <c r="A43" s="342" t="s">
        <v>414</v>
      </c>
      <c r="B43" s="343"/>
      <c r="C43" s="344"/>
      <c r="D43" s="342" t="s">
        <v>59</v>
      </c>
      <c r="E43" s="345" t="s">
        <v>17</v>
      </c>
      <c r="F43" s="346">
        <f>ROUND((3.75+10.2+0.35+0.95+0.85)*2.65,2)</f>
        <v>42.67</v>
      </c>
      <c r="G43" s="327"/>
      <c r="H43" s="327"/>
      <c r="I43" s="327">
        <f t="shared" si="20"/>
        <v>0</v>
      </c>
      <c r="J43" s="327">
        <f t="shared" si="21"/>
        <v>0</v>
      </c>
      <c r="K43" s="327">
        <f t="shared" si="22"/>
        <v>0</v>
      </c>
      <c r="L43" s="327">
        <f t="shared" si="23"/>
        <v>0</v>
      </c>
    </row>
    <row r="44" spans="1:12" s="347" customFormat="1" ht="26.4" x14ac:dyDescent="0.25">
      <c r="A44" s="342" t="s">
        <v>415</v>
      </c>
      <c r="B44" s="343"/>
      <c r="C44" s="344"/>
      <c r="D44" s="342" t="s">
        <v>61</v>
      </c>
      <c r="E44" s="345" t="s">
        <v>17</v>
      </c>
      <c r="F44" s="346">
        <f>ROUND((6.2+19.1+1.5+1.22)*2.65,2)</f>
        <v>74.25</v>
      </c>
      <c r="G44" s="327"/>
      <c r="H44" s="327"/>
      <c r="I44" s="327">
        <f t="shared" si="20"/>
        <v>0</v>
      </c>
      <c r="J44" s="327">
        <f t="shared" si="21"/>
        <v>0</v>
      </c>
      <c r="K44" s="327">
        <f t="shared" si="22"/>
        <v>0</v>
      </c>
      <c r="L44" s="327">
        <f t="shared" si="23"/>
        <v>0</v>
      </c>
    </row>
    <row r="45" spans="1:12" s="347" customFormat="1" ht="26.4" x14ac:dyDescent="0.25">
      <c r="A45" s="342" t="s">
        <v>416</v>
      </c>
      <c r="B45" s="343"/>
      <c r="C45" s="344"/>
      <c r="D45" s="342" t="s">
        <v>62</v>
      </c>
      <c r="E45" s="345" t="s">
        <v>17</v>
      </c>
      <c r="F45" s="346">
        <f>F44</f>
        <v>74.25</v>
      </c>
      <c r="G45" s="327"/>
      <c r="H45" s="327"/>
      <c r="I45" s="327">
        <f t="shared" si="20"/>
        <v>0</v>
      </c>
      <c r="J45" s="327">
        <f t="shared" si="21"/>
        <v>0</v>
      </c>
      <c r="K45" s="327">
        <f t="shared" si="22"/>
        <v>0</v>
      </c>
      <c r="L45" s="327">
        <f t="shared" si="23"/>
        <v>0</v>
      </c>
    </row>
    <row r="46" spans="1:12" s="347" customFormat="1" ht="26.4" x14ac:dyDescent="0.25">
      <c r="A46" s="342" t="s">
        <v>417</v>
      </c>
      <c r="B46" s="343"/>
      <c r="C46" s="344"/>
      <c r="D46" s="342" t="s">
        <v>63</v>
      </c>
      <c r="E46" s="345" t="s">
        <v>58</v>
      </c>
      <c r="F46" s="346">
        <f>ROUND(((55.03+38.98+12.72)*0.15)+(178.65*0.15),2)</f>
        <v>42.81</v>
      </c>
      <c r="G46" s="327"/>
      <c r="H46" s="327"/>
      <c r="I46" s="327">
        <f t="shared" si="20"/>
        <v>0</v>
      </c>
      <c r="J46" s="327">
        <f t="shared" si="21"/>
        <v>0</v>
      </c>
      <c r="K46" s="327">
        <f t="shared" si="22"/>
        <v>0</v>
      </c>
      <c r="L46" s="327">
        <f t="shared" si="23"/>
        <v>0</v>
      </c>
    </row>
    <row r="47" spans="1:12" s="347" customFormat="1" ht="26.4" x14ac:dyDescent="0.25">
      <c r="A47" s="342" t="s">
        <v>418</v>
      </c>
      <c r="B47" s="343"/>
      <c r="C47" s="344"/>
      <c r="D47" s="342" t="s">
        <v>64</v>
      </c>
      <c r="E47" s="345" t="s">
        <v>17</v>
      </c>
      <c r="F47" s="346">
        <f>2.25+9.62+7.03+2.98+40.36+4.27</f>
        <v>66.509999999999991</v>
      </c>
      <c r="G47" s="327"/>
      <c r="H47" s="327"/>
      <c r="I47" s="327">
        <f t="shared" si="20"/>
        <v>0</v>
      </c>
      <c r="J47" s="327">
        <f t="shared" si="21"/>
        <v>0</v>
      </c>
      <c r="K47" s="327">
        <f t="shared" si="22"/>
        <v>0</v>
      </c>
      <c r="L47" s="327">
        <f t="shared" si="23"/>
        <v>0</v>
      </c>
    </row>
    <row r="48" spans="1:12" s="347" customFormat="1" ht="26.4" x14ac:dyDescent="0.25">
      <c r="A48" s="342" t="s">
        <v>419</v>
      </c>
      <c r="B48" s="343"/>
      <c r="C48" s="344"/>
      <c r="D48" s="342" t="s">
        <v>65</v>
      </c>
      <c r="E48" s="345" t="s">
        <v>17</v>
      </c>
      <c r="F48" s="346">
        <f>ROUND((3*2*1.4)+(3*1.5*1.4)+(1*0.5*1)+(1*0.8*0.3)+(2*2.5*1.7)+(1*2*1.7)+(1*0.95*1.4),2)</f>
        <v>28.67</v>
      </c>
      <c r="G48" s="327"/>
      <c r="H48" s="327"/>
      <c r="I48" s="327">
        <f t="shared" si="20"/>
        <v>0</v>
      </c>
      <c r="J48" s="327">
        <f t="shared" si="21"/>
        <v>0</v>
      </c>
      <c r="K48" s="327">
        <f t="shared" si="22"/>
        <v>0</v>
      </c>
      <c r="L48" s="327">
        <f t="shared" si="23"/>
        <v>0</v>
      </c>
    </row>
    <row r="49" spans="1:12" s="347" customFormat="1" ht="26.4" x14ac:dyDescent="0.25">
      <c r="A49" s="342" t="s">
        <v>420</v>
      </c>
      <c r="B49" s="343"/>
      <c r="C49" s="344"/>
      <c r="D49" s="342" t="s">
        <v>66</v>
      </c>
      <c r="E49" s="345" t="s">
        <v>17</v>
      </c>
      <c r="F49" s="346">
        <f>(1*0.8*2.4)+(1*0.85*2.4)+(4*0.7*2.1)+(1*0.75*2)+(3*0.8*2.1)</f>
        <v>16.380000000000003</v>
      </c>
      <c r="G49" s="327"/>
      <c r="H49" s="327"/>
      <c r="I49" s="327">
        <f t="shared" si="20"/>
        <v>0</v>
      </c>
      <c r="J49" s="327">
        <f t="shared" si="21"/>
        <v>0</v>
      </c>
      <c r="K49" s="327">
        <f t="shared" si="22"/>
        <v>0</v>
      </c>
      <c r="L49" s="327">
        <f t="shared" si="23"/>
        <v>0</v>
      </c>
    </row>
    <row r="50" spans="1:12" s="347" customFormat="1" ht="26.4" x14ac:dyDescent="0.25">
      <c r="A50" s="342" t="s">
        <v>421</v>
      </c>
      <c r="B50" s="361"/>
      <c r="C50" s="361"/>
      <c r="D50" s="362" t="s">
        <v>700</v>
      </c>
      <c r="E50" s="361" t="s">
        <v>217</v>
      </c>
      <c r="F50" s="378">
        <v>4</v>
      </c>
      <c r="G50" s="328"/>
      <c r="H50" s="328"/>
      <c r="I50" s="327">
        <f t="shared" ref="I50" si="24">TRUNC(SUM(G50:H50),2)</f>
        <v>0</v>
      </c>
      <c r="J50" s="327">
        <f t="shared" ref="J50" si="25">TRUNC(F50*G50,2)</f>
        <v>0</v>
      </c>
      <c r="K50" s="327">
        <f t="shared" ref="K50" si="26">TRUNC(F50*H50,2)</f>
        <v>0</v>
      </c>
      <c r="L50" s="327">
        <f t="shared" ref="L50" si="27">TRUNC(SUM(J50,K50),2)</f>
        <v>0</v>
      </c>
    </row>
    <row r="51" spans="1:12" s="347" customFormat="1" x14ac:dyDescent="0.25">
      <c r="A51" s="342" t="s">
        <v>1103</v>
      </c>
      <c r="B51" s="361"/>
      <c r="C51" s="361"/>
      <c r="D51" s="362" t="s">
        <v>1101</v>
      </c>
      <c r="E51" s="361" t="s">
        <v>217</v>
      </c>
      <c r="F51" s="378">
        <v>1</v>
      </c>
      <c r="G51" s="328"/>
      <c r="H51" s="328"/>
      <c r="I51" s="327">
        <f t="shared" ref="I51:I52" si="28">TRUNC(SUM(G51:H51),2)</f>
        <v>0</v>
      </c>
      <c r="J51" s="327">
        <f t="shared" ref="J51:J52" si="29">TRUNC(F51*G51,2)</f>
        <v>0</v>
      </c>
      <c r="K51" s="327">
        <f t="shared" ref="K51:K52" si="30">TRUNC(F51*H51,2)</f>
        <v>0</v>
      </c>
      <c r="L51" s="327">
        <f t="shared" ref="L51:L52" si="31">TRUNC(SUM(J51,K51),2)</f>
        <v>0</v>
      </c>
    </row>
    <row r="52" spans="1:12" s="347" customFormat="1" ht="26.4" x14ac:dyDescent="0.25">
      <c r="A52" s="342" t="s">
        <v>1104</v>
      </c>
      <c r="B52" s="385"/>
      <c r="C52" s="361"/>
      <c r="D52" s="362" t="s">
        <v>1102</v>
      </c>
      <c r="E52" s="361" t="s">
        <v>17</v>
      </c>
      <c r="F52" s="378">
        <v>104.3</v>
      </c>
      <c r="G52" s="328"/>
      <c r="H52" s="328"/>
      <c r="I52" s="327">
        <f t="shared" si="28"/>
        <v>0</v>
      </c>
      <c r="J52" s="327">
        <f t="shared" si="29"/>
        <v>0</v>
      </c>
      <c r="K52" s="327">
        <f t="shared" si="30"/>
        <v>0</v>
      </c>
      <c r="L52" s="327">
        <f t="shared" si="31"/>
        <v>0</v>
      </c>
    </row>
    <row r="53" spans="1:12" x14ac:dyDescent="0.25">
      <c r="A53" s="364"/>
      <c r="B53" s="365"/>
      <c r="C53" s="366"/>
      <c r="D53" s="367" t="s">
        <v>324</v>
      </c>
      <c r="E53" s="368" t="s">
        <v>325</v>
      </c>
      <c r="F53" s="369"/>
      <c r="G53" s="370"/>
      <c r="H53" s="370"/>
      <c r="I53" s="370"/>
      <c r="J53" s="371">
        <f>SUM(J38:J52)</f>
        <v>0</v>
      </c>
      <c r="K53" s="371">
        <f>SUM(K38:K52)</f>
        <v>0</v>
      </c>
      <c r="L53" s="370"/>
    </row>
    <row r="54" spans="1:12" x14ac:dyDescent="0.25">
      <c r="A54" s="372"/>
      <c r="B54" s="373"/>
      <c r="C54" s="373"/>
      <c r="D54" s="372" t="s">
        <v>325</v>
      </c>
      <c r="E54" s="373" t="s">
        <v>325</v>
      </c>
      <c r="F54" s="374"/>
      <c r="G54" s="375"/>
      <c r="H54" s="375"/>
      <c r="I54" s="375"/>
      <c r="J54" s="376"/>
      <c r="K54" s="376">
        <f>SUM(J53:K53)</f>
        <v>0</v>
      </c>
      <c r="L54" s="375"/>
    </row>
    <row r="55" spans="1:12" x14ac:dyDescent="0.25">
      <c r="A55" s="206">
        <v>3</v>
      </c>
      <c r="B55" s="335"/>
      <c r="C55" s="335"/>
      <c r="D55" s="206" t="s">
        <v>1006</v>
      </c>
      <c r="E55" s="206"/>
      <c r="F55" s="377"/>
      <c r="G55" s="210"/>
      <c r="H55" s="210"/>
      <c r="I55" s="210"/>
      <c r="J55" s="210"/>
      <c r="K55" s="210"/>
      <c r="L55" s="337">
        <f>L56+L63+L79</f>
        <v>0</v>
      </c>
    </row>
    <row r="56" spans="1:12" s="341" customFormat="1" x14ac:dyDescent="0.25">
      <c r="A56" s="207" t="s">
        <v>70</v>
      </c>
      <c r="B56" s="338"/>
      <c r="C56" s="338"/>
      <c r="D56" s="207" t="s">
        <v>1007</v>
      </c>
      <c r="E56" s="207"/>
      <c r="F56" s="326"/>
      <c r="G56" s="209"/>
      <c r="H56" s="209"/>
      <c r="I56" s="209"/>
      <c r="J56" s="209"/>
      <c r="K56" s="209"/>
      <c r="L56" s="340">
        <f>SUM(L57:L62)</f>
        <v>0</v>
      </c>
    </row>
    <row r="57" spans="1:12" ht="39.6" x14ac:dyDescent="0.25">
      <c r="A57" s="325" t="s">
        <v>1013</v>
      </c>
      <c r="B57" s="330"/>
      <c r="C57" s="331"/>
      <c r="D57" s="325" t="s">
        <v>71</v>
      </c>
      <c r="E57" s="332" t="s">
        <v>17</v>
      </c>
      <c r="F57" s="379">
        <v>3.56</v>
      </c>
      <c r="G57" s="208"/>
      <c r="H57" s="208"/>
      <c r="I57" s="208">
        <f t="shared" ref="I57" si="32">TRUNC(SUM(G57:H57),2)</f>
        <v>0</v>
      </c>
      <c r="J57" s="208">
        <f t="shared" ref="J57:J62" si="33">TRUNC(F57*G57,2)</f>
        <v>0</v>
      </c>
      <c r="K57" s="208">
        <f t="shared" ref="K57:K62" si="34">TRUNC(F57*H57,2)</f>
        <v>0</v>
      </c>
      <c r="L57" s="208">
        <f t="shared" ref="L57:L62" si="35">TRUNC(SUM(J57,K57),2)</f>
        <v>0</v>
      </c>
    </row>
    <row r="58" spans="1:12" ht="26.25" customHeight="1" x14ac:dyDescent="0.25">
      <c r="A58" s="325" t="s">
        <v>1014</v>
      </c>
      <c r="B58" s="330"/>
      <c r="C58" s="331"/>
      <c r="D58" s="325" t="s">
        <v>1008</v>
      </c>
      <c r="E58" s="332" t="s">
        <v>58</v>
      </c>
      <c r="F58" s="379">
        <v>0.36</v>
      </c>
      <c r="G58" s="208"/>
      <c r="H58" s="208"/>
      <c r="I58" s="208">
        <f t="shared" ref="I58:I62" si="36">TRUNC(SUM(G58:H58),2)</f>
        <v>0</v>
      </c>
      <c r="J58" s="208">
        <f t="shared" si="33"/>
        <v>0</v>
      </c>
      <c r="K58" s="208">
        <f t="shared" si="34"/>
        <v>0</v>
      </c>
      <c r="L58" s="208">
        <f t="shared" si="35"/>
        <v>0</v>
      </c>
    </row>
    <row r="59" spans="1:12" ht="26.4" x14ac:dyDescent="0.25">
      <c r="A59" s="325" t="s">
        <v>1015</v>
      </c>
      <c r="B59" s="330"/>
      <c r="C59" s="331"/>
      <c r="D59" s="325" t="s">
        <v>1009</v>
      </c>
      <c r="E59" s="332" t="s">
        <v>17</v>
      </c>
      <c r="F59" s="379">
        <v>3.56</v>
      </c>
      <c r="G59" s="208"/>
      <c r="H59" s="208"/>
      <c r="I59" s="208">
        <f t="shared" si="36"/>
        <v>0</v>
      </c>
      <c r="J59" s="208">
        <f t="shared" si="33"/>
        <v>0</v>
      </c>
      <c r="K59" s="208">
        <f t="shared" si="34"/>
        <v>0</v>
      </c>
      <c r="L59" s="208">
        <f t="shared" si="35"/>
        <v>0</v>
      </c>
    </row>
    <row r="60" spans="1:12" ht="39.6" x14ac:dyDescent="0.25">
      <c r="A60" s="325" t="s">
        <v>1016</v>
      </c>
      <c r="B60" s="330"/>
      <c r="C60" s="331"/>
      <c r="D60" s="325" t="s">
        <v>1010</v>
      </c>
      <c r="E60" s="332" t="s">
        <v>17</v>
      </c>
      <c r="F60" s="379">
        <v>1.9</v>
      </c>
      <c r="G60" s="208"/>
      <c r="H60" s="208"/>
      <c r="I60" s="208">
        <f t="shared" si="36"/>
        <v>0</v>
      </c>
      <c r="J60" s="208">
        <f t="shared" si="33"/>
        <v>0</v>
      </c>
      <c r="K60" s="208">
        <f t="shared" si="34"/>
        <v>0</v>
      </c>
      <c r="L60" s="208">
        <f t="shared" si="35"/>
        <v>0</v>
      </c>
    </row>
    <row r="61" spans="1:12" ht="26.4" x14ac:dyDescent="0.25">
      <c r="A61" s="325" t="s">
        <v>1017</v>
      </c>
      <c r="B61" s="330"/>
      <c r="C61" s="331"/>
      <c r="D61" s="325" t="s">
        <v>1011</v>
      </c>
      <c r="E61" s="332" t="s">
        <v>73</v>
      </c>
      <c r="F61" s="379">
        <v>81.099999999999994</v>
      </c>
      <c r="G61" s="208"/>
      <c r="H61" s="208"/>
      <c r="I61" s="208">
        <f t="shared" si="36"/>
        <v>0</v>
      </c>
      <c r="J61" s="208">
        <f t="shared" si="33"/>
        <v>0</v>
      </c>
      <c r="K61" s="208">
        <f t="shared" si="34"/>
        <v>0</v>
      </c>
      <c r="L61" s="208">
        <f t="shared" si="35"/>
        <v>0</v>
      </c>
    </row>
    <row r="62" spans="1:12" ht="26.25" customHeight="1" x14ac:dyDescent="0.25">
      <c r="A62" s="325" t="s">
        <v>1018</v>
      </c>
      <c r="B62" s="330"/>
      <c r="C62" s="331"/>
      <c r="D62" s="325" t="s">
        <v>1012</v>
      </c>
      <c r="E62" s="332" t="s">
        <v>58</v>
      </c>
      <c r="F62" s="379">
        <v>0.9</v>
      </c>
      <c r="G62" s="208"/>
      <c r="H62" s="208"/>
      <c r="I62" s="208">
        <f t="shared" si="36"/>
        <v>0</v>
      </c>
      <c r="J62" s="208">
        <f t="shared" si="33"/>
        <v>0</v>
      </c>
      <c r="K62" s="208">
        <f t="shared" si="34"/>
        <v>0</v>
      </c>
      <c r="L62" s="208">
        <f t="shared" si="35"/>
        <v>0</v>
      </c>
    </row>
    <row r="63" spans="1:12" s="341" customFormat="1" x14ac:dyDescent="0.25">
      <c r="A63" s="207" t="s">
        <v>1025</v>
      </c>
      <c r="B63" s="338"/>
      <c r="C63" s="338"/>
      <c r="D63" s="207" t="s">
        <v>1019</v>
      </c>
      <c r="E63" s="207"/>
      <c r="F63" s="326"/>
      <c r="G63" s="209"/>
      <c r="H63" s="209"/>
      <c r="I63" s="209"/>
      <c r="J63" s="209"/>
      <c r="K63" s="209"/>
      <c r="L63" s="340">
        <f>L64+L69+L74</f>
        <v>0</v>
      </c>
    </row>
    <row r="64" spans="1:12" s="384" customFormat="1" x14ac:dyDescent="0.25">
      <c r="A64" s="380" t="s">
        <v>1026</v>
      </c>
      <c r="B64" s="381"/>
      <c r="C64" s="381"/>
      <c r="D64" s="380" t="s">
        <v>1020</v>
      </c>
      <c r="E64" s="380"/>
      <c r="F64" s="382"/>
      <c r="G64" s="211"/>
      <c r="H64" s="211"/>
      <c r="I64" s="211"/>
      <c r="J64" s="211"/>
      <c r="K64" s="211"/>
      <c r="L64" s="383">
        <f>SUM(L65:L68)</f>
        <v>0</v>
      </c>
    </row>
    <row r="65" spans="1:12" ht="39.6" x14ac:dyDescent="0.25">
      <c r="A65" s="325" t="s">
        <v>1027</v>
      </c>
      <c r="B65" s="330"/>
      <c r="C65" s="331"/>
      <c r="D65" s="325" t="s">
        <v>1021</v>
      </c>
      <c r="E65" s="332" t="s">
        <v>17</v>
      </c>
      <c r="F65" s="379">
        <v>9</v>
      </c>
      <c r="G65" s="208"/>
      <c r="H65" s="208"/>
      <c r="I65" s="208">
        <f t="shared" ref="I65:I68" si="37">TRUNC(SUM(G65:H65),2)</f>
        <v>0</v>
      </c>
      <c r="J65" s="208">
        <f t="shared" ref="J65:J68" si="38">TRUNC(F65*G65,2)</f>
        <v>0</v>
      </c>
      <c r="K65" s="208">
        <f t="shared" ref="K65:K68" si="39">TRUNC(F65*H65,2)</f>
        <v>0</v>
      </c>
      <c r="L65" s="208">
        <f t="shared" ref="L65:L68" si="40">TRUNC(SUM(J65,K65),2)</f>
        <v>0</v>
      </c>
    </row>
    <row r="66" spans="1:12" ht="39.6" x14ac:dyDescent="0.25">
      <c r="A66" s="325" t="s">
        <v>1028</v>
      </c>
      <c r="B66" s="330"/>
      <c r="C66" s="331"/>
      <c r="D66" s="325" t="s">
        <v>1022</v>
      </c>
      <c r="E66" s="332" t="s">
        <v>73</v>
      </c>
      <c r="F66" s="379">
        <v>10.5</v>
      </c>
      <c r="G66" s="208"/>
      <c r="H66" s="208"/>
      <c r="I66" s="208">
        <f t="shared" si="37"/>
        <v>0</v>
      </c>
      <c r="J66" s="208">
        <f t="shared" si="38"/>
        <v>0</v>
      </c>
      <c r="K66" s="208">
        <f t="shared" si="39"/>
        <v>0</v>
      </c>
      <c r="L66" s="208">
        <f t="shared" si="40"/>
        <v>0</v>
      </c>
    </row>
    <row r="67" spans="1:12" ht="39.6" x14ac:dyDescent="0.25">
      <c r="A67" s="325" t="s">
        <v>1029</v>
      </c>
      <c r="B67" s="330"/>
      <c r="C67" s="331"/>
      <c r="D67" s="325" t="s">
        <v>1023</v>
      </c>
      <c r="E67" s="332" t="s">
        <v>73</v>
      </c>
      <c r="F67" s="379">
        <v>324</v>
      </c>
      <c r="G67" s="208"/>
      <c r="H67" s="208"/>
      <c r="I67" s="208">
        <f t="shared" si="37"/>
        <v>0</v>
      </c>
      <c r="J67" s="208">
        <f t="shared" si="38"/>
        <v>0</v>
      </c>
      <c r="K67" s="208">
        <f t="shared" si="39"/>
        <v>0</v>
      </c>
      <c r="L67" s="208">
        <f t="shared" si="40"/>
        <v>0</v>
      </c>
    </row>
    <row r="68" spans="1:12" ht="39.6" x14ac:dyDescent="0.25">
      <c r="A68" s="325" t="s">
        <v>1030</v>
      </c>
      <c r="B68" s="330"/>
      <c r="C68" s="331"/>
      <c r="D68" s="325" t="s">
        <v>1024</v>
      </c>
      <c r="E68" s="332" t="s">
        <v>58</v>
      </c>
      <c r="F68" s="379">
        <v>0.4</v>
      </c>
      <c r="G68" s="208"/>
      <c r="H68" s="208"/>
      <c r="I68" s="208">
        <f t="shared" si="37"/>
        <v>0</v>
      </c>
      <c r="J68" s="208">
        <f t="shared" si="38"/>
        <v>0</v>
      </c>
      <c r="K68" s="208">
        <f t="shared" si="39"/>
        <v>0</v>
      </c>
      <c r="L68" s="208">
        <f t="shared" si="40"/>
        <v>0</v>
      </c>
    </row>
    <row r="69" spans="1:12" s="384" customFormat="1" x14ac:dyDescent="0.25">
      <c r="A69" s="380" t="s">
        <v>1037</v>
      </c>
      <c r="B69" s="381"/>
      <c r="C69" s="381"/>
      <c r="D69" s="380" t="s">
        <v>1031</v>
      </c>
      <c r="E69" s="380"/>
      <c r="F69" s="382"/>
      <c r="G69" s="211"/>
      <c r="H69" s="211"/>
      <c r="I69" s="211"/>
      <c r="J69" s="211"/>
      <c r="K69" s="211"/>
      <c r="L69" s="383">
        <f>SUM(L70:L73)</f>
        <v>0</v>
      </c>
    </row>
    <row r="70" spans="1:12" ht="39.6" x14ac:dyDescent="0.25">
      <c r="A70" s="325" t="s">
        <v>1038</v>
      </c>
      <c r="B70" s="330"/>
      <c r="C70" s="331"/>
      <c r="D70" s="325" t="s">
        <v>1032</v>
      </c>
      <c r="E70" s="332" t="s">
        <v>17</v>
      </c>
      <c r="F70" s="379">
        <v>4.2</v>
      </c>
      <c r="G70" s="208"/>
      <c r="H70" s="208"/>
      <c r="I70" s="208">
        <f t="shared" ref="I70:I73" si="41">TRUNC(SUM(G70:H70),2)</f>
        <v>0</v>
      </c>
      <c r="J70" s="208">
        <f t="shared" ref="J70:J73" si="42">TRUNC(F70*G70,2)</f>
        <v>0</v>
      </c>
      <c r="K70" s="208">
        <f t="shared" ref="K70:K73" si="43">TRUNC(F70*H70,2)</f>
        <v>0</v>
      </c>
      <c r="L70" s="208">
        <f t="shared" ref="L70:L73" si="44">TRUNC(SUM(J70,K70),2)</f>
        <v>0</v>
      </c>
    </row>
    <row r="71" spans="1:12" ht="39.6" x14ac:dyDescent="0.25">
      <c r="A71" s="325" t="s">
        <v>1039</v>
      </c>
      <c r="B71" s="330"/>
      <c r="C71" s="331"/>
      <c r="D71" s="325" t="s">
        <v>1022</v>
      </c>
      <c r="E71" s="332" t="s">
        <v>73</v>
      </c>
      <c r="F71" s="379">
        <v>4.4000000000000004</v>
      </c>
      <c r="G71" s="208"/>
      <c r="H71" s="208"/>
      <c r="I71" s="208">
        <f t="shared" si="41"/>
        <v>0</v>
      </c>
      <c r="J71" s="208">
        <f t="shared" si="42"/>
        <v>0</v>
      </c>
      <c r="K71" s="208">
        <f t="shared" si="43"/>
        <v>0</v>
      </c>
      <c r="L71" s="208">
        <f t="shared" si="44"/>
        <v>0</v>
      </c>
    </row>
    <row r="72" spans="1:12" ht="39.6" x14ac:dyDescent="0.25">
      <c r="A72" s="325" t="s">
        <v>1040</v>
      </c>
      <c r="B72" s="330"/>
      <c r="C72" s="331"/>
      <c r="D72" s="325" t="s">
        <v>1023</v>
      </c>
      <c r="E72" s="332" t="s">
        <v>73</v>
      </c>
      <c r="F72" s="379">
        <v>15.3</v>
      </c>
      <c r="G72" s="208"/>
      <c r="H72" s="208"/>
      <c r="I72" s="208">
        <f t="shared" si="41"/>
        <v>0</v>
      </c>
      <c r="J72" s="208">
        <f t="shared" si="42"/>
        <v>0</v>
      </c>
      <c r="K72" s="208">
        <f t="shared" si="43"/>
        <v>0</v>
      </c>
      <c r="L72" s="208">
        <f t="shared" si="44"/>
        <v>0</v>
      </c>
    </row>
    <row r="73" spans="1:12" ht="39.6" x14ac:dyDescent="0.25">
      <c r="A73" s="325" t="s">
        <v>1041</v>
      </c>
      <c r="B73" s="330"/>
      <c r="C73" s="331"/>
      <c r="D73" s="325" t="s">
        <v>1033</v>
      </c>
      <c r="E73" s="332" t="s">
        <v>58</v>
      </c>
      <c r="F73" s="379">
        <v>0.3</v>
      </c>
      <c r="G73" s="208"/>
      <c r="H73" s="208"/>
      <c r="I73" s="208">
        <f t="shared" si="41"/>
        <v>0</v>
      </c>
      <c r="J73" s="208">
        <f t="shared" si="42"/>
        <v>0</v>
      </c>
      <c r="K73" s="208">
        <f t="shared" si="43"/>
        <v>0</v>
      </c>
      <c r="L73" s="208">
        <f t="shared" si="44"/>
        <v>0</v>
      </c>
    </row>
    <row r="74" spans="1:12" s="384" customFormat="1" x14ac:dyDescent="0.25">
      <c r="A74" s="380" t="s">
        <v>1042</v>
      </c>
      <c r="B74" s="381"/>
      <c r="C74" s="381"/>
      <c r="D74" s="380" t="s">
        <v>1034</v>
      </c>
      <c r="E74" s="380"/>
      <c r="F74" s="382"/>
      <c r="G74" s="211"/>
      <c r="H74" s="211"/>
      <c r="I74" s="211"/>
      <c r="J74" s="211"/>
      <c r="K74" s="211"/>
      <c r="L74" s="383">
        <f>SUM(L75:L78)</f>
        <v>0</v>
      </c>
    </row>
    <row r="75" spans="1:12" ht="26.25" customHeight="1" x14ac:dyDescent="0.25">
      <c r="A75" s="325" t="s">
        <v>1043</v>
      </c>
      <c r="B75" s="330"/>
      <c r="C75" s="331"/>
      <c r="D75" s="325" t="s">
        <v>1035</v>
      </c>
      <c r="E75" s="332" t="s">
        <v>17</v>
      </c>
      <c r="F75" s="379">
        <v>172.1</v>
      </c>
      <c r="G75" s="208"/>
      <c r="H75" s="208"/>
      <c r="I75" s="208">
        <f t="shared" ref="I75:I78" si="45">TRUNC(SUM(G75:H75),2)</f>
        <v>0</v>
      </c>
      <c r="J75" s="208">
        <f t="shared" ref="J75:J78" si="46">TRUNC(F75*G75,2)</f>
        <v>0</v>
      </c>
      <c r="K75" s="208">
        <f t="shared" ref="K75:K78" si="47">TRUNC(F75*H75,2)</f>
        <v>0</v>
      </c>
      <c r="L75" s="208">
        <f t="shared" ref="L75:L78" si="48">TRUNC(SUM(J75,K75),2)</f>
        <v>0</v>
      </c>
    </row>
    <row r="76" spans="1:12" ht="26.4" x14ac:dyDescent="0.25">
      <c r="A76" s="325" t="s">
        <v>1044</v>
      </c>
      <c r="B76" s="330"/>
      <c r="C76" s="331"/>
      <c r="D76" s="325" t="s">
        <v>1011</v>
      </c>
      <c r="E76" s="332" t="s">
        <v>73</v>
      </c>
      <c r="F76" s="379">
        <v>84.6</v>
      </c>
      <c r="G76" s="208"/>
      <c r="H76" s="208"/>
      <c r="I76" s="208">
        <f t="shared" si="45"/>
        <v>0</v>
      </c>
      <c r="J76" s="208">
        <f t="shared" si="46"/>
        <v>0</v>
      </c>
      <c r="K76" s="208">
        <f t="shared" si="47"/>
        <v>0</v>
      </c>
      <c r="L76" s="208">
        <f t="shared" si="48"/>
        <v>0</v>
      </c>
    </row>
    <row r="77" spans="1:12" ht="26.4" x14ac:dyDescent="0.25">
      <c r="A77" s="325" t="s">
        <v>1045</v>
      </c>
      <c r="B77" s="330"/>
      <c r="C77" s="331"/>
      <c r="D77" s="351" t="s">
        <v>1036</v>
      </c>
      <c r="E77" s="332" t="s">
        <v>73</v>
      </c>
      <c r="F77" s="324">
        <v>1400.5</v>
      </c>
      <c r="G77" s="212"/>
      <c r="H77" s="212"/>
      <c r="I77" s="208">
        <f t="shared" si="45"/>
        <v>0</v>
      </c>
      <c r="J77" s="208">
        <f t="shared" si="46"/>
        <v>0</v>
      </c>
      <c r="K77" s="208">
        <f t="shared" si="47"/>
        <v>0</v>
      </c>
      <c r="L77" s="208">
        <f t="shared" si="48"/>
        <v>0</v>
      </c>
    </row>
    <row r="78" spans="1:12" ht="39.6" x14ac:dyDescent="0.25">
      <c r="A78" s="325" t="s">
        <v>1046</v>
      </c>
      <c r="B78" s="330"/>
      <c r="C78" s="331"/>
      <c r="D78" s="325" t="s">
        <v>1033</v>
      </c>
      <c r="E78" s="332" t="s">
        <v>58</v>
      </c>
      <c r="F78" s="379">
        <v>27.5</v>
      </c>
      <c r="G78" s="208"/>
      <c r="H78" s="208"/>
      <c r="I78" s="208">
        <f t="shared" si="45"/>
        <v>0</v>
      </c>
      <c r="J78" s="208">
        <f t="shared" si="46"/>
        <v>0</v>
      </c>
      <c r="K78" s="208">
        <f t="shared" si="47"/>
        <v>0</v>
      </c>
      <c r="L78" s="208">
        <f t="shared" si="48"/>
        <v>0</v>
      </c>
    </row>
    <row r="79" spans="1:12" s="341" customFormat="1" x14ac:dyDescent="0.25">
      <c r="A79" s="207" t="s">
        <v>1049</v>
      </c>
      <c r="B79" s="338"/>
      <c r="C79" s="338"/>
      <c r="D79" s="207" t="s">
        <v>1047</v>
      </c>
      <c r="E79" s="207"/>
      <c r="F79" s="326"/>
      <c r="G79" s="209"/>
      <c r="H79" s="209"/>
      <c r="I79" s="209"/>
      <c r="J79" s="209"/>
      <c r="K79" s="209"/>
      <c r="L79" s="340">
        <f>L80+L85+L90</f>
        <v>0</v>
      </c>
    </row>
    <row r="80" spans="1:12" s="384" customFormat="1" x14ac:dyDescent="0.25">
      <c r="A80" s="380" t="s">
        <v>1050</v>
      </c>
      <c r="B80" s="381"/>
      <c r="C80" s="381"/>
      <c r="D80" s="380" t="s">
        <v>1020</v>
      </c>
      <c r="E80" s="380"/>
      <c r="F80" s="382"/>
      <c r="G80" s="211"/>
      <c r="H80" s="211"/>
      <c r="I80" s="211"/>
      <c r="J80" s="211"/>
      <c r="K80" s="211"/>
      <c r="L80" s="383">
        <f>SUM(L81:L84)</f>
        <v>0</v>
      </c>
    </row>
    <row r="81" spans="1:12" ht="39.6" x14ac:dyDescent="0.25">
      <c r="A81" s="325" t="s">
        <v>1051</v>
      </c>
      <c r="B81" s="330"/>
      <c r="C81" s="331"/>
      <c r="D81" s="325" t="s">
        <v>1021</v>
      </c>
      <c r="E81" s="332" t="s">
        <v>17</v>
      </c>
      <c r="F81" s="379">
        <v>8.6999999999999993</v>
      </c>
      <c r="G81" s="208"/>
      <c r="H81" s="208"/>
      <c r="I81" s="208">
        <f t="shared" ref="I81:I84" si="49">TRUNC(SUM(G81:H81),2)</f>
        <v>0</v>
      </c>
      <c r="J81" s="208">
        <f t="shared" ref="J81:J84" si="50">TRUNC(F81*G81,2)</f>
        <v>0</v>
      </c>
      <c r="K81" s="208">
        <f t="shared" ref="K81:K84" si="51">TRUNC(F81*H81,2)</f>
        <v>0</v>
      </c>
      <c r="L81" s="208">
        <f t="shared" ref="L81:L84" si="52">TRUNC(SUM(J81,K81),2)</f>
        <v>0</v>
      </c>
    </row>
    <row r="82" spans="1:12" ht="39.6" x14ac:dyDescent="0.25">
      <c r="A82" s="325" t="s">
        <v>1052</v>
      </c>
      <c r="B82" s="330"/>
      <c r="C82" s="331"/>
      <c r="D82" s="325" t="s">
        <v>1022</v>
      </c>
      <c r="E82" s="332" t="s">
        <v>73</v>
      </c>
      <c r="F82" s="379">
        <v>10.1</v>
      </c>
      <c r="G82" s="208"/>
      <c r="H82" s="208"/>
      <c r="I82" s="208">
        <f t="shared" si="49"/>
        <v>0</v>
      </c>
      <c r="J82" s="208">
        <f t="shared" si="50"/>
        <v>0</v>
      </c>
      <c r="K82" s="208">
        <f t="shared" si="51"/>
        <v>0</v>
      </c>
      <c r="L82" s="208">
        <f t="shared" si="52"/>
        <v>0</v>
      </c>
    </row>
    <row r="83" spans="1:12" ht="39.6" x14ac:dyDescent="0.25">
      <c r="A83" s="325" t="s">
        <v>1053</v>
      </c>
      <c r="B83" s="330"/>
      <c r="C83" s="331"/>
      <c r="D83" s="325" t="s">
        <v>1023</v>
      </c>
      <c r="E83" s="332" t="s">
        <v>73</v>
      </c>
      <c r="F83" s="379">
        <v>27.7</v>
      </c>
      <c r="G83" s="208"/>
      <c r="H83" s="208"/>
      <c r="I83" s="208">
        <f t="shared" si="49"/>
        <v>0</v>
      </c>
      <c r="J83" s="208">
        <f t="shared" si="50"/>
        <v>0</v>
      </c>
      <c r="K83" s="208">
        <f t="shared" si="51"/>
        <v>0</v>
      </c>
      <c r="L83" s="208">
        <f t="shared" si="52"/>
        <v>0</v>
      </c>
    </row>
    <row r="84" spans="1:12" ht="39.6" x14ac:dyDescent="0.25">
      <c r="A84" s="325" t="s">
        <v>1054</v>
      </c>
      <c r="B84" s="330"/>
      <c r="C84" s="331"/>
      <c r="D84" s="325" t="s">
        <v>1024</v>
      </c>
      <c r="E84" s="332" t="s">
        <v>58</v>
      </c>
      <c r="F84" s="379">
        <v>0.4</v>
      </c>
      <c r="G84" s="208"/>
      <c r="H84" s="208"/>
      <c r="I84" s="208">
        <f t="shared" si="49"/>
        <v>0</v>
      </c>
      <c r="J84" s="208">
        <f t="shared" si="50"/>
        <v>0</v>
      </c>
      <c r="K84" s="208">
        <f t="shared" si="51"/>
        <v>0</v>
      </c>
      <c r="L84" s="208">
        <f t="shared" si="52"/>
        <v>0</v>
      </c>
    </row>
    <row r="85" spans="1:12" s="384" customFormat="1" x14ac:dyDescent="0.25">
      <c r="A85" s="380" t="s">
        <v>1055</v>
      </c>
      <c r="B85" s="381"/>
      <c r="C85" s="381"/>
      <c r="D85" s="380" t="s">
        <v>1031</v>
      </c>
      <c r="E85" s="380"/>
      <c r="F85" s="382"/>
      <c r="G85" s="211"/>
      <c r="H85" s="211"/>
      <c r="I85" s="211"/>
      <c r="J85" s="211"/>
      <c r="K85" s="211"/>
      <c r="L85" s="383">
        <f>SUM(L86:L89)</f>
        <v>0</v>
      </c>
    </row>
    <row r="86" spans="1:12" ht="39.6" x14ac:dyDescent="0.25">
      <c r="A86" s="325" t="s">
        <v>1056</v>
      </c>
      <c r="B86" s="330"/>
      <c r="C86" s="331"/>
      <c r="D86" s="325" t="s">
        <v>1032</v>
      </c>
      <c r="E86" s="332" t="s">
        <v>17</v>
      </c>
      <c r="F86" s="379">
        <v>5</v>
      </c>
      <c r="G86" s="208"/>
      <c r="H86" s="208"/>
      <c r="I86" s="208">
        <f t="shared" ref="I86:I89" si="53">TRUNC(SUM(G86:H86),2)</f>
        <v>0</v>
      </c>
      <c r="J86" s="208">
        <f t="shared" ref="J86:J89" si="54">TRUNC(F86*G86,2)</f>
        <v>0</v>
      </c>
      <c r="K86" s="208">
        <f t="shared" ref="K86:K89" si="55">TRUNC(F86*H86,2)</f>
        <v>0</v>
      </c>
      <c r="L86" s="208">
        <f t="shared" ref="L86:L89" si="56">TRUNC(SUM(J86,K86),2)</f>
        <v>0</v>
      </c>
    </row>
    <row r="87" spans="1:12" ht="39.6" x14ac:dyDescent="0.25">
      <c r="A87" s="325" t="s">
        <v>1057</v>
      </c>
      <c r="B87" s="330"/>
      <c r="C87" s="331"/>
      <c r="D87" s="325" t="s">
        <v>1022</v>
      </c>
      <c r="E87" s="332" t="s">
        <v>73</v>
      </c>
      <c r="F87" s="379">
        <v>6.1</v>
      </c>
      <c r="G87" s="208"/>
      <c r="H87" s="208"/>
      <c r="I87" s="208">
        <f t="shared" si="53"/>
        <v>0</v>
      </c>
      <c r="J87" s="208">
        <f t="shared" si="54"/>
        <v>0</v>
      </c>
      <c r="K87" s="208">
        <f t="shared" si="55"/>
        <v>0</v>
      </c>
      <c r="L87" s="208">
        <f t="shared" si="56"/>
        <v>0</v>
      </c>
    </row>
    <row r="88" spans="1:12" ht="39.6" x14ac:dyDescent="0.25">
      <c r="A88" s="325" t="s">
        <v>1058</v>
      </c>
      <c r="B88" s="330"/>
      <c r="C88" s="331"/>
      <c r="D88" s="325" t="s">
        <v>1023</v>
      </c>
      <c r="E88" s="332" t="s">
        <v>73</v>
      </c>
      <c r="F88" s="379">
        <v>21</v>
      </c>
      <c r="G88" s="208"/>
      <c r="H88" s="208"/>
      <c r="I88" s="208">
        <f t="shared" si="53"/>
        <v>0</v>
      </c>
      <c r="J88" s="208">
        <f t="shared" si="54"/>
        <v>0</v>
      </c>
      <c r="K88" s="208">
        <f t="shared" si="55"/>
        <v>0</v>
      </c>
      <c r="L88" s="208">
        <f t="shared" si="56"/>
        <v>0</v>
      </c>
    </row>
    <row r="89" spans="1:12" ht="39.6" x14ac:dyDescent="0.25">
      <c r="A89" s="325" t="s">
        <v>1059</v>
      </c>
      <c r="B89" s="330"/>
      <c r="C89" s="331"/>
      <c r="D89" s="325" t="s">
        <v>1033</v>
      </c>
      <c r="E89" s="332" t="s">
        <v>58</v>
      </c>
      <c r="F89" s="379">
        <v>0.5</v>
      </c>
      <c r="G89" s="208"/>
      <c r="H89" s="208"/>
      <c r="I89" s="208">
        <f t="shared" si="53"/>
        <v>0</v>
      </c>
      <c r="J89" s="208">
        <f t="shared" si="54"/>
        <v>0</v>
      </c>
      <c r="K89" s="208">
        <f t="shared" si="55"/>
        <v>0</v>
      </c>
      <c r="L89" s="208">
        <f t="shared" si="56"/>
        <v>0</v>
      </c>
    </row>
    <row r="90" spans="1:12" s="384" customFormat="1" x14ac:dyDescent="0.25">
      <c r="A90" s="380" t="s">
        <v>1060</v>
      </c>
      <c r="B90" s="381"/>
      <c r="C90" s="381"/>
      <c r="D90" s="380" t="s">
        <v>1034</v>
      </c>
      <c r="E90" s="380"/>
      <c r="F90" s="382"/>
      <c r="G90" s="211"/>
      <c r="H90" s="211"/>
      <c r="I90" s="211"/>
      <c r="J90" s="211"/>
      <c r="K90" s="211"/>
      <c r="L90" s="383">
        <f>SUM(L91:L94)</f>
        <v>0</v>
      </c>
    </row>
    <row r="91" spans="1:12" ht="26.25" customHeight="1" x14ac:dyDescent="0.25">
      <c r="A91" s="325" t="s">
        <v>1061</v>
      </c>
      <c r="B91" s="330"/>
      <c r="C91" s="331"/>
      <c r="D91" s="325" t="s">
        <v>1035</v>
      </c>
      <c r="E91" s="332" t="s">
        <v>17</v>
      </c>
      <c r="F91" s="379">
        <v>2.1</v>
      </c>
      <c r="G91" s="208"/>
      <c r="H91" s="208"/>
      <c r="I91" s="208">
        <f t="shared" ref="I91:I94" si="57">TRUNC(SUM(G91:H91),2)</f>
        <v>0</v>
      </c>
      <c r="J91" s="208">
        <f t="shared" ref="J91:J94" si="58">TRUNC(F91*G91,2)</f>
        <v>0</v>
      </c>
      <c r="K91" s="208">
        <f t="shared" ref="K91:K94" si="59">TRUNC(F91*H91,2)</f>
        <v>0</v>
      </c>
      <c r="L91" s="208">
        <f t="shared" ref="L91:L94" si="60">TRUNC(SUM(J91,K91),2)</f>
        <v>0</v>
      </c>
    </row>
    <row r="92" spans="1:12" ht="26.4" x14ac:dyDescent="0.25">
      <c r="A92" s="325" t="s">
        <v>1062</v>
      </c>
      <c r="B92" s="330"/>
      <c r="C92" s="331"/>
      <c r="D92" s="325" t="s">
        <v>1048</v>
      </c>
      <c r="E92" s="332" t="s">
        <v>73</v>
      </c>
      <c r="F92" s="379">
        <v>3.4</v>
      </c>
      <c r="G92" s="208"/>
      <c r="H92" s="208"/>
      <c r="I92" s="208">
        <f t="shared" si="57"/>
        <v>0</v>
      </c>
      <c r="J92" s="208">
        <f t="shared" si="58"/>
        <v>0</v>
      </c>
      <c r="K92" s="208">
        <f t="shared" si="59"/>
        <v>0</v>
      </c>
      <c r="L92" s="208">
        <f t="shared" si="60"/>
        <v>0</v>
      </c>
    </row>
    <row r="93" spans="1:12" ht="26.4" x14ac:dyDescent="0.25">
      <c r="A93" s="325" t="s">
        <v>1063</v>
      </c>
      <c r="B93" s="330"/>
      <c r="C93" s="331"/>
      <c r="D93" s="351" t="s">
        <v>1011</v>
      </c>
      <c r="E93" s="332" t="s">
        <v>73</v>
      </c>
      <c r="F93" s="324">
        <v>5.3</v>
      </c>
      <c r="G93" s="212"/>
      <c r="H93" s="212"/>
      <c r="I93" s="208">
        <f t="shared" si="57"/>
        <v>0</v>
      </c>
      <c r="J93" s="208">
        <f t="shared" si="58"/>
        <v>0</v>
      </c>
      <c r="K93" s="208">
        <f t="shared" si="59"/>
        <v>0</v>
      </c>
      <c r="L93" s="208">
        <f t="shared" si="60"/>
        <v>0</v>
      </c>
    </row>
    <row r="94" spans="1:12" ht="39.6" x14ac:dyDescent="0.25">
      <c r="A94" s="325" t="s">
        <v>1064</v>
      </c>
      <c r="B94" s="330"/>
      <c r="C94" s="331"/>
      <c r="D94" s="325" t="s">
        <v>1033</v>
      </c>
      <c r="E94" s="332" t="s">
        <v>58</v>
      </c>
      <c r="F94" s="379">
        <v>0.3</v>
      </c>
      <c r="G94" s="208"/>
      <c r="H94" s="208"/>
      <c r="I94" s="208">
        <f t="shared" si="57"/>
        <v>0</v>
      </c>
      <c r="J94" s="208">
        <f t="shared" si="58"/>
        <v>0</v>
      </c>
      <c r="K94" s="208">
        <f t="shared" si="59"/>
        <v>0</v>
      </c>
      <c r="L94" s="208">
        <f t="shared" si="60"/>
        <v>0</v>
      </c>
    </row>
    <row r="95" spans="1:12" s="341" customFormat="1" x14ac:dyDescent="0.25">
      <c r="A95" s="207" t="s">
        <v>1105</v>
      </c>
      <c r="B95" s="338"/>
      <c r="C95" s="338"/>
      <c r="D95" s="207" t="s">
        <v>1106</v>
      </c>
      <c r="E95" s="207"/>
      <c r="F95" s="326"/>
      <c r="G95" s="209"/>
      <c r="H95" s="209"/>
      <c r="I95" s="209"/>
      <c r="J95" s="209"/>
      <c r="K95" s="209"/>
      <c r="L95" s="340">
        <f>L96+L105+L110</f>
        <v>0</v>
      </c>
    </row>
    <row r="96" spans="1:12" s="384" customFormat="1" x14ac:dyDescent="0.25">
      <c r="A96" s="380" t="s">
        <v>1107</v>
      </c>
      <c r="B96" s="381"/>
      <c r="C96" s="381"/>
      <c r="D96" s="380" t="s">
        <v>1007</v>
      </c>
      <c r="E96" s="380"/>
      <c r="F96" s="382"/>
      <c r="G96" s="211"/>
      <c r="H96" s="211"/>
      <c r="I96" s="211"/>
      <c r="J96" s="211"/>
      <c r="K96" s="211"/>
      <c r="L96" s="383">
        <f>SUM(L97:L104)</f>
        <v>0</v>
      </c>
    </row>
    <row r="97" spans="1:12" ht="39.6" x14ac:dyDescent="0.25">
      <c r="A97" s="351" t="s">
        <v>1108</v>
      </c>
      <c r="B97" s="388"/>
      <c r="C97" s="350"/>
      <c r="D97" s="351" t="s">
        <v>71</v>
      </c>
      <c r="E97" s="352" t="s">
        <v>17</v>
      </c>
      <c r="F97" s="324">
        <v>9.61</v>
      </c>
      <c r="G97" s="212"/>
      <c r="H97" s="212"/>
      <c r="I97" s="208">
        <f t="shared" ref="I97" si="61">TRUNC(SUM(G97:H97),2)</f>
        <v>0</v>
      </c>
      <c r="J97" s="208">
        <f t="shared" ref="J97" si="62">TRUNC(F97*G97,2)</f>
        <v>0</v>
      </c>
      <c r="K97" s="208">
        <f t="shared" ref="K97" si="63">TRUNC(F97*H97,2)</f>
        <v>0</v>
      </c>
      <c r="L97" s="208">
        <f t="shared" ref="L97" si="64">TRUNC(SUM(J97,K97),2)</f>
        <v>0</v>
      </c>
    </row>
    <row r="98" spans="1:12" ht="26.4" x14ac:dyDescent="0.25">
      <c r="A98" s="351" t="s">
        <v>1109</v>
      </c>
      <c r="B98" s="388"/>
      <c r="C98" s="350"/>
      <c r="D98" s="351" t="s">
        <v>1008</v>
      </c>
      <c r="E98" s="352" t="s">
        <v>58</v>
      </c>
      <c r="F98" s="324">
        <v>0.96</v>
      </c>
      <c r="G98" s="212"/>
      <c r="H98" s="212"/>
      <c r="I98" s="208">
        <f t="shared" ref="I98:I104" si="65">TRUNC(SUM(G98:H98),2)</f>
        <v>0</v>
      </c>
      <c r="J98" s="208">
        <f t="shared" ref="J98:J104" si="66">TRUNC(F98*G98,2)</f>
        <v>0</v>
      </c>
      <c r="K98" s="208">
        <f t="shared" ref="K98:K104" si="67">TRUNC(F98*H98,2)</f>
        <v>0</v>
      </c>
      <c r="L98" s="208">
        <f t="shared" ref="L98:L104" si="68">TRUNC(SUM(J98,K98),2)</f>
        <v>0</v>
      </c>
    </row>
    <row r="99" spans="1:12" ht="26.4" x14ac:dyDescent="0.25">
      <c r="A99" s="351" t="s">
        <v>1110</v>
      </c>
      <c r="B99" s="388"/>
      <c r="C99" s="350"/>
      <c r="D99" s="351" t="s">
        <v>1009</v>
      </c>
      <c r="E99" s="352" t="s">
        <v>17</v>
      </c>
      <c r="F99" s="324">
        <v>9.61</v>
      </c>
      <c r="G99" s="212"/>
      <c r="H99" s="212"/>
      <c r="I99" s="208">
        <f t="shared" si="65"/>
        <v>0</v>
      </c>
      <c r="J99" s="208">
        <f t="shared" si="66"/>
        <v>0</v>
      </c>
      <c r="K99" s="208">
        <f t="shared" si="67"/>
        <v>0</v>
      </c>
      <c r="L99" s="208">
        <f t="shared" si="68"/>
        <v>0</v>
      </c>
    </row>
    <row r="100" spans="1:12" ht="39.6" x14ac:dyDescent="0.25">
      <c r="A100" s="351" t="s">
        <v>1111</v>
      </c>
      <c r="B100" s="388"/>
      <c r="C100" s="350"/>
      <c r="D100" s="351" t="s">
        <v>1010</v>
      </c>
      <c r="E100" s="352" t="s">
        <v>17</v>
      </c>
      <c r="F100" s="324">
        <v>2.5</v>
      </c>
      <c r="G100" s="212"/>
      <c r="H100" s="212"/>
      <c r="I100" s="208">
        <f t="shared" si="65"/>
        <v>0</v>
      </c>
      <c r="J100" s="208">
        <f t="shared" si="66"/>
        <v>0</v>
      </c>
      <c r="K100" s="208">
        <f t="shared" si="67"/>
        <v>0</v>
      </c>
      <c r="L100" s="208">
        <f t="shared" si="68"/>
        <v>0</v>
      </c>
    </row>
    <row r="101" spans="1:12" ht="26.4" x14ac:dyDescent="0.25">
      <c r="A101" s="351" t="s">
        <v>1112</v>
      </c>
      <c r="B101" s="388"/>
      <c r="C101" s="350"/>
      <c r="D101" s="351" t="s">
        <v>1113</v>
      </c>
      <c r="E101" s="352" t="s">
        <v>73</v>
      </c>
      <c r="F101" s="324">
        <v>47.6</v>
      </c>
      <c r="G101" s="212"/>
      <c r="H101" s="212"/>
      <c r="I101" s="208">
        <f t="shared" si="65"/>
        <v>0</v>
      </c>
      <c r="J101" s="208">
        <f t="shared" si="66"/>
        <v>0</v>
      </c>
      <c r="K101" s="208">
        <f t="shared" si="67"/>
        <v>0</v>
      </c>
      <c r="L101" s="208">
        <f t="shared" si="68"/>
        <v>0</v>
      </c>
    </row>
    <row r="102" spans="1:12" ht="26.4" x14ac:dyDescent="0.25">
      <c r="A102" s="351" t="s">
        <v>1114</v>
      </c>
      <c r="B102" s="388"/>
      <c r="C102" s="350"/>
      <c r="D102" s="351" t="s">
        <v>1011</v>
      </c>
      <c r="E102" s="352" t="s">
        <v>73</v>
      </c>
      <c r="F102" s="324">
        <v>59.9</v>
      </c>
      <c r="G102" s="212"/>
      <c r="H102" s="212"/>
      <c r="I102" s="208">
        <f t="shared" si="65"/>
        <v>0</v>
      </c>
      <c r="J102" s="208">
        <f t="shared" si="66"/>
        <v>0</v>
      </c>
      <c r="K102" s="208">
        <f t="shared" si="67"/>
        <v>0</v>
      </c>
      <c r="L102" s="208">
        <f t="shared" si="68"/>
        <v>0</v>
      </c>
    </row>
    <row r="103" spans="1:12" ht="26.4" x14ac:dyDescent="0.25">
      <c r="A103" s="351" t="s">
        <v>1115</v>
      </c>
      <c r="B103" s="388"/>
      <c r="C103" s="350"/>
      <c r="D103" s="351" t="s">
        <v>1036</v>
      </c>
      <c r="E103" s="352" t="s">
        <v>73</v>
      </c>
      <c r="F103" s="324">
        <v>7</v>
      </c>
      <c r="G103" s="212"/>
      <c r="H103" s="212"/>
      <c r="I103" s="208">
        <f t="shared" si="65"/>
        <v>0</v>
      </c>
      <c r="J103" s="208">
        <f t="shared" si="66"/>
        <v>0</v>
      </c>
      <c r="K103" s="208">
        <f t="shared" si="67"/>
        <v>0</v>
      </c>
      <c r="L103" s="208">
        <f t="shared" si="68"/>
        <v>0</v>
      </c>
    </row>
    <row r="104" spans="1:12" ht="39.6" x14ac:dyDescent="0.25">
      <c r="A104" s="351" t="s">
        <v>1116</v>
      </c>
      <c r="B104" s="388"/>
      <c r="C104" s="350"/>
      <c r="D104" s="351" t="s">
        <v>1012</v>
      </c>
      <c r="E104" s="352" t="s">
        <v>58</v>
      </c>
      <c r="F104" s="324">
        <v>1.9</v>
      </c>
      <c r="G104" s="212"/>
      <c r="H104" s="212"/>
      <c r="I104" s="208">
        <f t="shared" si="65"/>
        <v>0</v>
      </c>
      <c r="J104" s="208">
        <f t="shared" si="66"/>
        <v>0</v>
      </c>
      <c r="K104" s="208">
        <f t="shared" si="67"/>
        <v>0</v>
      </c>
      <c r="L104" s="208">
        <f t="shared" si="68"/>
        <v>0</v>
      </c>
    </row>
    <row r="105" spans="1:12" s="384" customFormat="1" x14ac:dyDescent="0.25">
      <c r="A105" s="380" t="s">
        <v>1117</v>
      </c>
      <c r="B105" s="381"/>
      <c r="C105" s="381"/>
      <c r="D105" s="380" t="s">
        <v>1118</v>
      </c>
      <c r="E105" s="380"/>
      <c r="F105" s="382"/>
      <c r="G105" s="211"/>
      <c r="H105" s="211"/>
      <c r="I105" s="211"/>
      <c r="J105" s="211"/>
      <c r="K105" s="211"/>
      <c r="L105" s="383">
        <f>SUM(L106:L109)</f>
        <v>0</v>
      </c>
    </row>
    <row r="106" spans="1:12" ht="39.6" x14ac:dyDescent="0.25">
      <c r="A106" s="351" t="s">
        <v>1119</v>
      </c>
      <c r="B106" s="388"/>
      <c r="C106" s="350"/>
      <c r="D106" s="351" t="s">
        <v>1021</v>
      </c>
      <c r="E106" s="352" t="s">
        <v>17</v>
      </c>
      <c r="F106" s="324">
        <v>8</v>
      </c>
      <c r="G106" s="212"/>
      <c r="H106" s="212"/>
      <c r="I106" s="208">
        <f t="shared" ref="I106" si="69">TRUNC(SUM(G106:H106),2)</f>
        <v>0</v>
      </c>
      <c r="J106" s="208">
        <f t="shared" ref="J106" si="70">TRUNC(F106*G106,2)</f>
        <v>0</v>
      </c>
      <c r="K106" s="208">
        <f t="shared" ref="K106" si="71">TRUNC(F106*H106,2)</f>
        <v>0</v>
      </c>
      <c r="L106" s="208">
        <f t="shared" ref="L106" si="72">TRUNC(SUM(J106,K106),2)</f>
        <v>0</v>
      </c>
    </row>
    <row r="107" spans="1:12" ht="39.6" x14ac:dyDescent="0.25">
      <c r="A107" s="351" t="s">
        <v>1120</v>
      </c>
      <c r="B107" s="388"/>
      <c r="C107" s="350"/>
      <c r="D107" s="351" t="s">
        <v>1022</v>
      </c>
      <c r="E107" s="352" t="s">
        <v>73</v>
      </c>
      <c r="F107" s="324">
        <v>8.4</v>
      </c>
      <c r="G107" s="212"/>
      <c r="H107" s="212"/>
      <c r="I107" s="208">
        <f t="shared" ref="I107:I109" si="73">TRUNC(SUM(G107:H107),2)</f>
        <v>0</v>
      </c>
      <c r="J107" s="208">
        <f t="shared" ref="J107:J109" si="74">TRUNC(F107*G107,2)</f>
        <v>0</v>
      </c>
      <c r="K107" s="208">
        <f t="shared" ref="K107:K109" si="75">TRUNC(F107*H107,2)</f>
        <v>0</v>
      </c>
      <c r="L107" s="208">
        <f t="shared" ref="L107:L109" si="76">TRUNC(SUM(J107,K107),2)</f>
        <v>0</v>
      </c>
    </row>
    <row r="108" spans="1:12" ht="39.6" x14ac:dyDescent="0.25">
      <c r="A108" s="351" t="s">
        <v>1121</v>
      </c>
      <c r="B108" s="388"/>
      <c r="C108" s="350"/>
      <c r="D108" s="351" t="s">
        <v>1023</v>
      </c>
      <c r="E108" s="352" t="s">
        <v>73</v>
      </c>
      <c r="F108" s="324">
        <v>22.1</v>
      </c>
      <c r="G108" s="212"/>
      <c r="H108" s="212"/>
      <c r="I108" s="208">
        <f t="shared" si="73"/>
        <v>0</v>
      </c>
      <c r="J108" s="208">
        <f t="shared" si="74"/>
        <v>0</v>
      </c>
      <c r="K108" s="208">
        <f t="shared" si="75"/>
        <v>0</v>
      </c>
      <c r="L108" s="208">
        <f t="shared" si="76"/>
        <v>0</v>
      </c>
    </row>
    <row r="109" spans="1:12" ht="39.6" x14ac:dyDescent="0.25">
      <c r="A109" s="351" t="s">
        <v>1122</v>
      </c>
      <c r="B109" s="388"/>
      <c r="C109" s="350"/>
      <c r="D109" s="351" t="s">
        <v>1024</v>
      </c>
      <c r="E109" s="352" t="s">
        <v>58</v>
      </c>
      <c r="F109" s="324">
        <v>0.4</v>
      </c>
      <c r="G109" s="212"/>
      <c r="H109" s="212"/>
      <c r="I109" s="208">
        <f t="shared" si="73"/>
        <v>0</v>
      </c>
      <c r="J109" s="208">
        <f t="shared" si="74"/>
        <v>0</v>
      </c>
      <c r="K109" s="208">
        <f t="shared" si="75"/>
        <v>0</v>
      </c>
      <c r="L109" s="208">
        <f t="shared" si="76"/>
        <v>0</v>
      </c>
    </row>
    <row r="110" spans="1:12" s="384" customFormat="1" x14ac:dyDescent="0.25">
      <c r="A110" s="380" t="s">
        <v>1123</v>
      </c>
      <c r="B110" s="381"/>
      <c r="C110" s="381"/>
      <c r="D110" s="380" t="s">
        <v>1124</v>
      </c>
      <c r="E110" s="380"/>
      <c r="F110" s="382"/>
      <c r="G110" s="211"/>
      <c r="H110" s="211"/>
      <c r="I110" s="211"/>
      <c r="J110" s="211"/>
      <c r="K110" s="211"/>
      <c r="L110" s="383">
        <f>SUM(L111:L114)</f>
        <v>0</v>
      </c>
    </row>
    <row r="111" spans="1:12" ht="39.6" x14ac:dyDescent="0.25">
      <c r="A111" s="351" t="s">
        <v>1125</v>
      </c>
      <c r="B111" s="388"/>
      <c r="C111" s="350"/>
      <c r="D111" s="351" t="s">
        <v>1035</v>
      </c>
      <c r="E111" s="352" t="s">
        <v>17</v>
      </c>
      <c r="F111" s="324">
        <v>13.4</v>
      </c>
      <c r="G111" s="212"/>
      <c r="H111" s="212"/>
      <c r="I111" s="208">
        <f t="shared" ref="I111:I114" si="77">TRUNC(SUM(G111:H111),2)</f>
        <v>0</v>
      </c>
      <c r="J111" s="208">
        <f t="shared" ref="J111:J114" si="78">TRUNC(F111*G111,2)</f>
        <v>0</v>
      </c>
      <c r="K111" s="208">
        <f t="shared" ref="K111:K114" si="79">TRUNC(F111*H111,2)</f>
        <v>0</v>
      </c>
      <c r="L111" s="208">
        <f t="shared" ref="L111:L114" si="80">TRUNC(SUM(J111,K111),2)</f>
        <v>0</v>
      </c>
    </row>
    <row r="112" spans="1:12" ht="26.4" x14ac:dyDescent="0.25">
      <c r="A112" s="351" t="s">
        <v>1126</v>
      </c>
      <c r="B112" s="388"/>
      <c r="C112" s="350"/>
      <c r="D112" s="351" t="s">
        <v>1048</v>
      </c>
      <c r="E112" s="352" t="s">
        <v>73</v>
      </c>
      <c r="F112" s="324">
        <v>42.6</v>
      </c>
      <c r="G112" s="212"/>
      <c r="H112" s="212"/>
      <c r="I112" s="208">
        <f t="shared" si="77"/>
        <v>0</v>
      </c>
      <c r="J112" s="208">
        <f t="shared" si="78"/>
        <v>0</v>
      </c>
      <c r="K112" s="208">
        <f t="shared" si="79"/>
        <v>0</v>
      </c>
      <c r="L112" s="208">
        <f t="shared" si="80"/>
        <v>0</v>
      </c>
    </row>
    <row r="113" spans="1:12" ht="26.4" x14ac:dyDescent="0.25">
      <c r="A113" s="351" t="s">
        <v>1127</v>
      </c>
      <c r="B113" s="388"/>
      <c r="C113" s="350"/>
      <c r="D113" s="351" t="s">
        <v>1011</v>
      </c>
      <c r="E113" s="352" t="s">
        <v>73</v>
      </c>
      <c r="F113" s="324">
        <v>14.8</v>
      </c>
      <c r="G113" s="212"/>
      <c r="H113" s="212"/>
      <c r="I113" s="208">
        <f t="shared" si="77"/>
        <v>0</v>
      </c>
      <c r="J113" s="208">
        <f t="shared" si="78"/>
        <v>0</v>
      </c>
      <c r="K113" s="208">
        <f t="shared" si="79"/>
        <v>0</v>
      </c>
      <c r="L113" s="208">
        <f t="shared" si="80"/>
        <v>0</v>
      </c>
    </row>
    <row r="114" spans="1:12" ht="39.6" x14ac:dyDescent="0.25">
      <c r="A114" s="351" t="s">
        <v>1128</v>
      </c>
      <c r="B114" s="388"/>
      <c r="C114" s="350"/>
      <c r="D114" s="351" t="s">
        <v>1033</v>
      </c>
      <c r="E114" s="352" t="s">
        <v>58</v>
      </c>
      <c r="F114" s="324">
        <v>1.8</v>
      </c>
      <c r="G114" s="212"/>
      <c r="H114" s="212"/>
      <c r="I114" s="208">
        <f t="shared" si="77"/>
        <v>0</v>
      </c>
      <c r="J114" s="208">
        <f t="shared" si="78"/>
        <v>0</v>
      </c>
      <c r="K114" s="208">
        <f t="shared" si="79"/>
        <v>0</v>
      </c>
      <c r="L114" s="208">
        <f t="shared" si="80"/>
        <v>0</v>
      </c>
    </row>
    <row r="115" spans="1:12" x14ac:dyDescent="0.25">
      <c r="A115" s="364"/>
      <c r="B115" s="365"/>
      <c r="C115" s="366"/>
      <c r="D115" s="367" t="s">
        <v>324</v>
      </c>
      <c r="E115" s="368" t="s">
        <v>325</v>
      </c>
      <c r="F115" s="369"/>
      <c r="G115" s="370"/>
      <c r="H115" s="370"/>
      <c r="I115" s="370"/>
      <c r="J115" s="371">
        <f>SUM(J57:J114)</f>
        <v>0</v>
      </c>
      <c r="K115" s="371">
        <f>SUM(K57:K114)</f>
        <v>0</v>
      </c>
      <c r="L115" s="370"/>
    </row>
    <row r="116" spans="1:12" x14ac:dyDescent="0.25">
      <c r="A116" s="372"/>
      <c r="B116" s="373"/>
      <c r="C116" s="373"/>
      <c r="D116" s="372" t="s">
        <v>325</v>
      </c>
      <c r="E116" s="373" t="s">
        <v>325</v>
      </c>
      <c r="F116" s="374"/>
      <c r="G116" s="375"/>
      <c r="H116" s="375"/>
      <c r="I116" s="375"/>
      <c r="J116" s="376"/>
      <c r="K116" s="376">
        <f>SUM(J115:K115)</f>
        <v>0</v>
      </c>
      <c r="L116" s="375"/>
    </row>
    <row r="117" spans="1:12" x14ac:dyDescent="0.25">
      <c r="A117" s="206">
        <v>4</v>
      </c>
      <c r="B117" s="335"/>
      <c r="C117" s="335"/>
      <c r="D117" s="206" t="s">
        <v>74</v>
      </c>
      <c r="E117" s="206"/>
      <c r="F117" s="377"/>
      <c r="G117" s="210"/>
      <c r="H117" s="210"/>
      <c r="I117" s="210"/>
      <c r="J117" s="210"/>
      <c r="K117" s="210"/>
      <c r="L117" s="337">
        <f>SUM(L118:L128)</f>
        <v>0</v>
      </c>
    </row>
    <row r="118" spans="1:12" s="347" customFormat="1" ht="39.6" x14ac:dyDescent="0.25">
      <c r="A118" s="342" t="s">
        <v>75</v>
      </c>
      <c r="B118" s="343"/>
      <c r="C118" s="344"/>
      <c r="D118" s="342" t="s">
        <v>1065</v>
      </c>
      <c r="E118" s="345" t="s">
        <v>17</v>
      </c>
      <c r="F118" s="346">
        <f>ROUND(((3.75+4.65+7.15+3.15+4.65+4.1+1.5)*2.65)-(4*0.8*2.1)-(1.2*2.1)+((4.05+8+2.5+3.9+8+2+2)*2.7)-(1.1*2.1*3)-(1.4*2.1)-(0.8*2.1*2)-(1*1.1),2)</f>
        <v>135.36000000000001</v>
      </c>
      <c r="G118" s="327"/>
      <c r="H118" s="327"/>
      <c r="I118" s="327">
        <f t="shared" ref="I118:I128" si="81">TRUNC(SUM(G118:H118),2)</f>
        <v>0</v>
      </c>
      <c r="J118" s="327">
        <f t="shared" ref="J118:J128" si="82">TRUNC(F118*G118,2)</f>
        <v>0</v>
      </c>
      <c r="K118" s="327">
        <f t="shared" ref="K118:K128" si="83">TRUNC(F118*H118,2)</f>
        <v>0</v>
      </c>
      <c r="L118" s="327">
        <f t="shared" ref="L118:L128" si="84">TRUNC(SUM(J118,K118),2)</f>
        <v>0</v>
      </c>
    </row>
    <row r="119" spans="1:12" s="347" customFormat="1" ht="39.6" x14ac:dyDescent="0.25">
      <c r="A119" s="342" t="s">
        <v>76</v>
      </c>
      <c r="B119" s="343"/>
      <c r="C119" s="344"/>
      <c r="D119" s="342" t="s">
        <v>77</v>
      </c>
      <c r="E119" s="345" t="s">
        <v>17</v>
      </c>
      <c r="F119" s="346">
        <f>ROUND(((1.35+4+3.32)*2.65)-(0.8*2.1)-(2*0.9*2.1)-(1.45*1.1)-(0.6*1.1)-(1.2*2.1)+((3.15+4.4+4.4)*2.7)+(2*1.4)+(1.5*1.4)-(1.8*1.1)-(2.75*1*3)-(2.4*1.1)+((5.66*2.15)-(1.4*2.1)),2)</f>
        <v>46.26</v>
      </c>
      <c r="G119" s="327"/>
      <c r="H119" s="327"/>
      <c r="I119" s="327">
        <f t="shared" si="81"/>
        <v>0</v>
      </c>
      <c r="J119" s="327">
        <f t="shared" si="82"/>
        <v>0</v>
      </c>
      <c r="K119" s="327">
        <f t="shared" si="83"/>
        <v>0</v>
      </c>
      <c r="L119" s="327">
        <f t="shared" si="84"/>
        <v>0</v>
      </c>
    </row>
    <row r="120" spans="1:12" s="347" customFormat="1" ht="39.6" x14ac:dyDescent="0.25">
      <c r="A120" s="342" t="s">
        <v>423</v>
      </c>
      <c r="B120" s="385"/>
      <c r="C120" s="361"/>
      <c r="D120" s="362" t="s">
        <v>422</v>
      </c>
      <c r="E120" s="361" t="s">
        <v>17</v>
      </c>
      <c r="F120" s="378">
        <f>ROUND((11.6*2.25)-(2*2.1),2)</f>
        <v>21.9</v>
      </c>
      <c r="G120" s="328"/>
      <c r="H120" s="328"/>
      <c r="I120" s="327">
        <f t="shared" si="81"/>
        <v>0</v>
      </c>
      <c r="J120" s="327">
        <f t="shared" si="82"/>
        <v>0</v>
      </c>
      <c r="K120" s="327">
        <f t="shared" si="83"/>
        <v>0</v>
      </c>
      <c r="L120" s="327">
        <f t="shared" si="84"/>
        <v>0</v>
      </c>
    </row>
    <row r="121" spans="1:12" s="347" customFormat="1" ht="39.6" x14ac:dyDescent="0.25">
      <c r="A121" s="342" t="s">
        <v>271</v>
      </c>
      <c r="B121" s="361"/>
      <c r="C121" s="361"/>
      <c r="D121" s="362" t="s">
        <v>701</v>
      </c>
      <c r="E121" s="361" t="s">
        <v>17</v>
      </c>
      <c r="F121" s="378">
        <f>(2.5+2.5+2.5+2.5)*2.7</f>
        <v>27</v>
      </c>
      <c r="G121" s="328"/>
      <c r="H121" s="328"/>
      <c r="I121" s="327">
        <f t="shared" ref="I121:I126" si="85">TRUNC(SUM(G121:H121),2)</f>
        <v>0</v>
      </c>
      <c r="J121" s="327">
        <f t="shared" ref="J121:J126" si="86">TRUNC(F121*G121,2)</f>
        <v>0</v>
      </c>
      <c r="K121" s="327">
        <f t="shared" ref="K121:K126" si="87">TRUNC(F121*H121,2)</f>
        <v>0</v>
      </c>
      <c r="L121" s="327">
        <f t="shared" ref="L121:L126" si="88">TRUNC(SUM(J121,K121),2)</f>
        <v>0</v>
      </c>
    </row>
    <row r="122" spans="1:12" s="347" customFormat="1" ht="52.8" x14ac:dyDescent="0.25">
      <c r="A122" s="342" t="s">
        <v>272</v>
      </c>
      <c r="B122" s="361"/>
      <c r="C122" s="361"/>
      <c r="D122" s="362" t="s">
        <v>702</v>
      </c>
      <c r="E122" s="361" t="s">
        <v>17</v>
      </c>
      <c r="F122" s="378">
        <f>ROUND(((7.8+2.15+3.9)*2.7)-(2*0.9*2.1)-(3.8*1)-(0.8*2.1),2)</f>
        <v>28.14</v>
      </c>
      <c r="G122" s="328"/>
      <c r="H122" s="328"/>
      <c r="I122" s="327">
        <f t="shared" si="85"/>
        <v>0</v>
      </c>
      <c r="J122" s="327">
        <f t="shared" si="86"/>
        <v>0</v>
      </c>
      <c r="K122" s="327">
        <f t="shared" si="87"/>
        <v>0</v>
      </c>
      <c r="L122" s="327">
        <f t="shared" si="88"/>
        <v>0</v>
      </c>
    </row>
    <row r="123" spans="1:12" s="347" customFormat="1" ht="66" x14ac:dyDescent="0.25">
      <c r="A123" s="342" t="s">
        <v>273</v>
      </c>
      <c r="B123" s="361"/>
      <c r="C123" s="361"/>
      <c r="D123" s="362" t="s">
        <v>704</v>
      </c>
      <c r="E123" s="361" t="s">
        <v>17</v>
      </c>
      <c r="F123" s="378">
        <f>(8.9*2.7)-(0.9*2.1*2)</f>
        <v>20.25</v>
      </c>
      <c r="G123" s="328"/>
      <c r="H123" s="328"/>
      <c r="I123" s="327">
        <f t="shared" si="85"/>
        <v>0</v>
      </c>
      <c r="J123" s="327">
        <f t="shared" si="86"/>
        <v>0</v>
      </c>
      <c r="K123" s="327">
        <f t="shared" si="87"/>
        <v>0</v>
      </c>
      <c r="L123" s="327">
        <f t="shared" si="88"/>
        <v>0</v>
      </c>
    </row>
    <row r="124" spans="1:12" s="347" customFormat="1" ht="66" x14ac:dyDescent="0.25">
      <c r="A124" s="342" t="s">
        <v>424</v>
      </c>
      <c r="B124" s="361"/>
      <c r="C124" s="361"/>
      <c r="D124" s="362" t="s">
        <v>705</v>
      </c>
      <c r="E124" s="361" t="s">
        <v>17</v>
      </c>
      <c r="F124" s="378">
        <f>ROUND(((1.6+3.45)*2.7)-(1.5*2.1)-(0.6*2.1),2)</f>
        <v>9.23</v>
      </c>
      <c r="G124" s="328"/>
      <c r="H124" s="328"/>
      <c r="I124" s="327">
        <f t="shared" si="85"/>
        <v>0</v>
      </c>
      <c r="J124" s="327">
        <f t="shared" si="86"/>
        <v>0</v>
      </c>
      <c r="K124" s="327">
        <f t="shared" si="87"/>
        <v>0</v>
      </c>
      <c r="L124" s="327">
        <f t="shared" si="88"/>
        <v>0</v>
      </c>
    </row>
    <row r="125" spans="1:12" s="347" customFormat="1" ht="52.8" x14ac:dyDescent="0.25">
      <c r="A125" s="342" t="s">
        <v>555</v>
      </c>
      <c r="B125" s="361"/>
      <c r="C125" s="361"/>
      <c r="D125" s="362" t="s">
        <v>706</v>
      </c>
      <c r="E125" s="361" t="s">
        <v>17</v>
      </c>
      <c r="F125" s="378">
        <f>(2.85+1.7+4.05+0.9+0.5+0.9+0.6+0.1)*2.7</f>
        <v>31.32</v>
      </c>
      <c r="G125" s="328"/>
      <c r="H125" s="328"/>
      <c r="I125" s="327">
        <f t="shared" si="85"/>
        <v>0</v>
      </c>
      <c r="J125" s="327">
        <f t="shared" si="86"/>
        <v>0</v>
      </c>
      <c r="K125" s="327">
        <f t="shared" si="87"/>
        <v>0</v>
      </c>
      <c r="L125" s="327">
        <f t="shared" si="88"/>
        <v>0</v>
      </c>
    </row>
    <row r="126" spans="1:12" s="347" customFormat="1" ht="39.6" x14ac:dyDescent="0.25">
      <c r="A126" s="342" t="s">
        <v>707</v>
      </c>
      <c r="B126" s="361"/>
      <c r="C126" s="361"/>
      <c r="D126" s="362" t="s">
        <v>703</v>
      </c>
      <c r="E126" s="361" t="s">
        <v>17</v>
      </c>
      <c r="F126" s="378">
        <f>ROUND(6.25*2.7,2)</f>
        <v>16.88</v>
      </c>
      <c r="G126" s="328"/>
      <c r="H126" s="328"/>
      <c r="I126" s="327">
        <f t="shared" si="85"/>
        <v>0</v>
      </c>
      <c r="J126" s="327">
        <f t="shared" si="86"/>
        <v>0</v>
      </c>
      <c r="K126" s="327">
        <f t="shared" si="87"/>
        <v>0</v>
      </c>
      <c r="L126" s="327">
        <f t="shared" si="88"/>
        <v>0</v>
      </c>
    </row>
    <row r="127" spans="1:12" s="347" customFormat="1" ht="39.6" x14ac:dyDescent="0.25">
      <c r="A127" s="342" t="s">
        <v>708</v>
      </c>
      <c r="B127" s="343"/>
      <c r="C127" s="344"/>
      <c r="D127" s="342" t="s">
        <v>78</v>
      </c>
      <c r="E127" s="345" t="s">
        <v>17</v>
      </c>
      <c r="F127" s="346">
        <f>2*(((1.25+1.25)*1.8)+(0.54*2))</f>
        <v>11.16</v>
      </c>
      <c r="G127" s="327"/>
      <c r="H127" s="327"/>
      <c r="I127" s="327">
        <f t="shared" si="81"/>
        <v>0</v>
      </c>
      <c r="J127" s="327">
        <f t="shared" si="82"/>
        <v>0</v>
      </c>
      <c r="K127" s="327">
        <f t="shared" si="83"/>
        <v>0</v>
      </c>
      <c r="L127" s="327">
        <f t="shared" si="84"/>
        <v>0</v>
      </c>
    </row>
    <row r="128" spans="1:12" s="347" customFormat="1" ht="26.4" x14ac:dyDescent="0.25">
      <c r="A128" s="342" t="s">
        <v>709</v>
      </c>
      <c r="B128" s="343"/>
      <c r="C128" s="344"/>
      <c r="D128" s="342" t="s">
        <v>79</v>
      </c>
      <c r="E128" s="345" t="s">
        <v>89</v>
      </c>
      <c r="F128" s="346">
        <f>(0.8+0.4)+(0.8+0.4)+(1.4+0.4)+(1.4+0.4)+(1.1+0.4)+(1.1+0.4)+(0.8+0.4)+(0.8+0.4)+(0.8+0.4)+(0.8+0.4)+(0.8+0.4)+(1.2+0.4)</f>
        <v>16.599999999999998</v>
      </c>
      <c r="G128" s="327"/>
      <c r="H128" s="327"/>
      <c r="I128" s="327">
        <f t="shared" si="81"/>
        <v>0</v>
      </c>
      <c r="J128" s="327">
        <f t="shared" si="82"/>
        <v>0</v>
      </c>
      <c r="K128" s="327">
        <f t="shared" si="83"/>
        <v>0</v>
      </c>
      <c r="L128" s="327">
        <f t="shared" si="84"/>
        <v>0</v>
      </c>
    </row>
    <row r="129" spans="1:12" x14ac:dyDescent="0.25">
      <c r="A129" s="325"/>
      <c r="B129" s="365"/>
      <c r="C129" s="366"/>
      <c r="D129" s="367" t="s">
        <v>324</v>
      </c>
      <c r="E129" s="368" t="s">
        <v>325</v>
      </c>
      <c r="F129" s="369"/>
      <c r="G129" s="370"/>
      <c r="H129" s="370"/>
      <c r="I129" s="370"/>
      <c r="J129" s="371">
        <f>SUM(J118:J128)</f>
        <v>0</v>
      </c>
      <c r="K129" s="371">
        <f>SUM(K118:K128)</f>
        <v>0</v>
      </c>
      <c r="L129" s="370"/>
    </row>
    <row r="130" spans="1:12" x14ac:dyDescent="0.25">
      <c r="A130" s="372"/>
      <c r="B130" s="373"/>
      <c r="C130" s="373"/>
      <c r="D130" s="372" t="s">
        <v>325</v>
      </c>
      <c r="E130" s="373" t="s">
        <v>325</v>
      </c>
      <c r="F130" s="374"/>
      <c r="G130" s="375"/>
      <c r="H130" s="375"/>
      <c r="I130" s="375"/>
      <c r="J130" s="376"/>
      <c r="K130" s="376">
        <f>SUM(J129:K129)</f>
        <v>0</v>
      </c>
      <c r="L130" s="375"/>
    </row>
    <row r="131" spans="1:12" x14ac:dyDescent="0.25">
      <c r="A131" s="206">
        <v>5</v>
      </c>
      <c r="B131" s="335"/>
      <c r="C131" s="335"/>
      <c r="D131" s="206" t="s">
        <v>80</v>
      </c>
      <c r="E131" s="206"/>
      <c r="F131" s="377"/>
      <c r="G131" s="210"/>
      <c r="H131" s="210"/>
      <c r="I131" s="210"/>
      <c r="J131" s="210"/>
      <c r="K131" s="210"/>
      <c r="L131" s="337">
        <f>L132+L137+L135</f>
        <v>0</v>
      </c>
    </row>
    <row r="132" spans="1:12" s="341" customFormat="1" x14ac:dyDescent="0.25">
      <c r="A132" s="207" t="s">
        <v>81</v>
      </c>
      <c r="B132" s="338"/>
      <c r="C132" s="338"/>
      <c r="D132" s="207" t="s">
        <v>580</v>
      </c>
      <c r="E132" s="207"/>
      <c r="F132" s="326"/>
      <c r="G132" s="209"/>
      <c r="H132" s="209"/>
      <c r="I132" s="209"/>
      <c r="J132" s="209"/>
      <c r="K132" s="209"/>
      <c r="L132" s="340">
        <f>SUM(L133:L134)</f>
        <v>0</v>
      </c>
    </row>
    <row r="133" spans="1:12" s="347" customFormat="1" ht="39" customHeight="1" x14ac:dyDescent="0.25">
      <c r="A133" s="342" t="s">
        <v>83</v>
      </c>
      <c r="B133" s="343"/>
      <c r="C133" s="344"/>
      <c r="D133" s="342" t="s">
        <v>1066</v>
      </c>
      <c r="E133" s="345" t="s">
        <v>73</v>
      </c>
      <c r="F133" s="346">
        <v>1485.69</v>
      </c>
      <c r="G133" s="327"/>
      <c r="H133" s="327"/>
      <c r="I133" s="327">
        <f t="shared" ref="I133:I134" si="89">TRUNC(SUM(G133:H133),2)</f>
        <v>0</v>
      </c>
      <c r="J133" s="327">
        <f t="shared" ref="J133:J134" si="90">TRUNC(F133*G133,2)</f>
        <v>0</v>
      </c>
      <c r="K133" s="327">
        <f t="shared" ref="K133:K134" si="91">TRUNC(F133*H133,2)</f>
        <v>0</v>
      </c>
      <c r="L133" s="327">
        <f t="shared" ref="L133:L134" si="92">TRUNC(SUM(J133,K133),2)</f>
        <v>0</v>
      </c>
    </row>
    <row r="134" spans="1:12" s="347" customFormat="1" ht="52.5" customHeight="1" x14ac:dyDescent="0.25">
      <c r="A134" s="342" t="s">
        <v>85</v>
      </c>
      <c r="B134" s="343"/>
      <c r="C134" s="344"/>
      <c r="D134" s="342" t="s">
        <v>1067</v>
      </c>
      <c r="E134" s="345" t="s">
        <v>17</v>
      </c>
      <c r="F134" s="346">
        <v>137.37</v>
      </c>
      <c r="G134" s="327"/>
      <c r="H134" s="327"/>
      <c r="I134" s="327">
        <f t="shared" si="89"/>
        <v>0</v>
      </c>
      <c r="J134" s="327">
        <f t="shared" si="90"/>
        <v>0</v>
      </c>
      <c r="K134" s="327">
        <f t="shared" si="91"/>
        <v>0</v>
      </c>
      <c r="L134" s="327">
        <f t="shared" si="92"/>
        <v>0</v>
      </c>
    </row>
    <row r="135" spans="1:12" s="341" customFormat="1" x14ac:dyDescent="0.25">
      <c r="A135" s="207" t="s">
        <v>1068</v>
      </c>
      <c r="B135" s="338"/>
      <c r="C135" s="338"/>
      <c r="D135" s="207" t="s">
        <v>82</v>
      </c>
      <c r="E135" s="207"/>
      <c r="F135" s="326"/>
      <c r="G135" s="209"/>
      <c r="H135" s="209"/>
      <c r="I135" s="209"/>
      <c r="J135" s="209"/>
      <c r="K135" s="209"/>
      <c r="L135" s="340">
        <f>SUM(L136)</f>
        <v>0</v>
      </c>
    </row>
    <row r="136" spans="1:12" s="347" customFormat="1" ht="26.4" x14ac:dyDescent="0.25">
      <c r="A136" s="342" t="s">
        <v>87</v>
      </c>
      <c r="B136" s="343"/>
      <c r="C136" s="344"/>
      <c r="D136" s="342" t="s">
        <v>84</v>
      </c>
      <c r="E136" s="345" t="s">
        <v>17</v>
      </c>
      <c r="F136" s="346">
        <f>82.61+79.14+8.24+2.73</f>
        <v>172.72</v>
      </c>
      <c r="G136" s="327"/>
      <c r="H136" s="327"/>
      <c r="I136" s="327">
        <f t="shared" ref="I136" si="93">TRUNC(SUM(G136:H136),2)</f>
        <v>0</v>
      </c>
      <c r="J136" s="327">
        <f t="shared" ref="J136" si="94">TRUNC(F136*G136,2)</f>
        <v>0</v>
      </c>
      <c r="K136" s="327">
        <f t="shared" ref="K136" si="95">TRUNC(F136*H136,2)</f>
        <v>0</v>
      </c>
      <c r="L136" s="327">
        <f t="shared" ref="L136" si="96">TRUNC(SUM(J136,K136),2)</f>
        <v>0</v>
      </c>
    </row>
    <row r="137" spans="1:12" s="341" customFormat="1" x14ac:dyDescent="0.25">
      <c r="A137" s="207" t="s">
        <v>1069</v>
      </c>
      <c r="B137" s="338"/>
      <c r="C137" s="338"/>
      <c r="D137" s="207" t="s">
        <v>86</v>
      </c>
      <c r="E137" s="207"/>
      <c r="F137" s="326"/>
      <c r="G137" s="209"/>
      <c r="H137" s="209"/>
      <c r="I137" s="209"/>
      <c r="J137" s="209"/>
      <c r="K137" s="209"/>
      <c r="L137" s="340">
        <f>SUM(L138:L140)</f>
        <v>0</v>
      </c>
    </row>
    <row r="138" spans="1:12" s="347" customFormat="1" ht="26.25" customHeight="1" x14ac:dyDescent="0.25">
      <c r="A138" s="342" t="s">
        <v>1070</v>
      </c>
      <c r="B138" s="354"/>
      <c r="C138" s="344"/>
      <c r="D138" s="342" t="s">
        <v>88</v>
      </c>
      <c r="E138" s="345" t="s">
        <v>89</v>
      </c>
      <c r="F138" s="346">
        <f>25.8+25.77</f>
        <v>51.57</v>
      </c>
      <c r="G138" s="327"/>
      <c r="H138" s="327"/>
      <c r="I138" s="327">
        <f t="shared" ref="I138:I140" si="97">TRUNC(SUM(G138:H138),2)</f>
        <v>0</v>
      </c>
      <c r="J138" s="327">
        <f t="shared" ref="J138:J140" si="98">TRUNC(F138*G138,2)</f>
        <v>0</v>
      </c>
      <c r="K138" s="327">
        <f t="shared" ref="K138:K140" si="99">TRUNC(F138*H138,2)</f>
        <v>0</v>
      </c>
      <c r="L138" s="327">
        <f t="shared" ref="L138:L140" si="100">TRUNC(SUM(J138,K138),2)</f>
        <v>0</v>
      </c>
    </row>
    <row r="139" spans="1:12" s="347" customFormat="1" ht="26.25" customHeight="1" x14ac:dyDescent="0.25">
      <c r="A139" s="342" t="s">
        <v>1071</v>
      </c>
      <c r="B139" s="354"/>
      <c r="C139" s="344"/>
      <c r="D139" s="342" t="s">
        <v>717</v>
      </c>
      <c r="E139" s="345" t="s">
        <v>89</v>
      </c>
      <c r="F139" s="346">
        <f>28.41+4.6+11.94+7.11+11.8+1+8.2</f>
        <v>73.06</v>
      </c>
      <c r="G139" s="327"/>
      <c r="H139" s="327"/>
      <c r="I139" s="327">
        <f t="shared" si="97"/>
        <v>0</v>
      </c>
      <c r="J139" s="327">
        <f t="shared" si="98"/>
        <v>0</v>
      </c>
      <c r="K139" s="327">
        <f t="shared" si="99"/>
        <v>0</v>
      </c>
      <c r="L139" s="327">
        <f t="shared" si="100"/>
        <v>0</v>
      </c>
    </row>
    <row r="140" spans="1:12" ht="26.25" customHeight="1" x14ac:dyDescent="0.25">
      <c r="A140" s="342" t="s">
        <v>1072</v>
      </c>
      <c r="B140" s="334"/>
      <c r="C140" s="331"/>
      <c r="D140" s="325" t="s">
        <v>1002</v>
      </c>
      <c r="E140" s="332" t="s">
        <v>89</v>
      </c>
      <c r="F140" s="346">
        <f>12+8.2+3.5</f>
        <v>23.7</v>
      </c>
      <c r="G140" s="208"/>
      <c r="H140" s="208"/>
      <c r="I140" s="208">
        <f t="shared" si="97"/>
        <v>0</v>
      </c>
      <c r="J140" s="208">
        <f t="shared" si="98"/>
        <v>0</v>
      </c>
      <c r="K140" s="208">
        <f t="shared" si="99"/>
        <v>0</v>
      </c>
      <c r="L140" s="208">
        <f t="shared" si="100"/>
        <v>0</v>
      </c>
    </row>
    <row r="141" spans="1:12" x14ac:dyDescent="0.25">
      <c r="A141" s="364"/>
      <c r="B141" s="365"/>
      <c r="C141" s="366"/>
      <c r="D141" s="367" t="s">
        <v>324</v>
      </c>
      <c r="E141" s="368" t="s">
        <v>325</v>
      </c>
      <c r="F141" s="369"/>
      <c r="G141" s="370"/>
      <c r="H141" s="370"/>
      <c r="I141" s="370"/>
      <c r="J141" s="371">
        <f>SUM(J133:J140)</f>
        <v>0</v>
      </c>
      <c r="K141" s="371">
        <f>SUM(K133:K140)</f>
        <v>0</v>
      </c>
      <c r="L141" s="370"/>
    </row>
    <row r="142" spans="1:12" x14ac:dyDescent="0.25">
      <c r="A142" s="372"/>
      <c r="B142" s="373"/>
      <c r="C142" s="373"/>
      <c r="D142" s="372" t="s">
        <v>325</v>
      </c>
      <c r="E142" s="373" t="s">
        <v>325</v>
      </c>
      <c r="F142" s="374"/>
      <c r="G142" s="375"/>
      <c r="H142" s="375"/>
      <c r="I142" s="375"/>
      <c r="J142" s="376"/>
      <c r="K142" s="376">
        <f>SUM(J141:K141)</f>
        <v>0</v>
      </c>
      <c r="L142" s="375"/>
    </row>
    <row r="143" spans="1:12" x14ac:dyDescent="0.25">
      <c r="A143" s="206">
        <v>6</v>
      </c>
      <c r="B143" s="335"/>
      <c r="C143" s="335"/>
      <c r="D143" s="206" t="s">
        <v>90</v>
      </c>
      <c r="E143" s="206"/>
      <c r="F143" s="377"/>
      <c r="G143" s="210"/>
      <c r="H143" s="210"/>
      <c r="I143" s="210"/>
      <c r="J143" s="210"/>
      <c r="K143" s="210"/>
      <c r="L143" s="337">
        <f>SUM(L144:L147)</f>
        <v>0</v>
      </c>
    </row>
    <row r="144" spans="1:12" s="347" customFormat="1" ht="26.4" x14ac:dyDescent="0.25">
      <c r="A144" s="342" t="s">
        <v>710</v>
      </c>
      <c r="B144" s="343"/>
      <c r="C144" s="344"/>
      <c r="D144" s="342" t="s">
        <v>91</v>
      </c>
      <c r="E144" s="345" t="s">
        <v>17</v>
      </c>
      <c r="F144" s="346">
        <f>ROUND((11.02+11.03+10.25+4.27+77.03+9.62+9.58+9.56+12.09+5.4)+((12.5+12.5+11.5+8.1+11.8+12+12.2+13.8+8.6+52.4-3.6-1.5-1.4-0.8-1.1)*0.3)+((1.23+1.25+1.23+1.25)*1.9),2)</f>
        <v>213.37</v>
      </c>
      <c r="G144" s="327"/>
      <c r="H144" s="327"/>
      <c r="I144" s="327">
        <f t="shared" ref="I144:I147" si="101">TRUNC(SUM(G144:H144),2)</f>
        <v>0</v>
      </c>
      <c r="J144" s="327">
        <f t="shared" ref="J144:J147" si="102">TRUNC(F144*G144,2)</f>
        <v>0</v>
      </c>
      <c r="K144" s="327">
        <f t="shared" ref="K144:K147" si="103">TRUNC(F144*H144,2)</f>
        <v>0</v>
      </c>
      <c r="L144" s="327">
        <f t="shared" ref="L144:L147" si="104">TRUNC(SUM(J144,K144),2)</f>
        <v>0</v>
      </c>
    </row>
    <row r="145" spans="1:12" s="347" customFormat="1" ht="29.25" customHeight="1" x14ac:dyDescent="0.25">
      <c r="A145" s="342" t="s">
        <v>711</v>
      </c>
      <c r="B145" s="385"/>
      <c r="C145" s="344"/>
      <c r="D145" s="362" t="s">
        <v>276</v>
      </c>
      <c r="E145" s="361" t="s">
        <v>17</v>
      </c>
      <c r="F145" s="378">
        <f>11.22+3.23+55.13+11.75+19.64+7.68+3.14+((11.2+11.2+3.95+3.95+4.05+4.05+2)*0.6)</f>
        <v>136.03</v>
      </c>
      <c r="G145" s="328"/>
      <c r="H145" s="328"/>
      <c r="I145" s="327">
        <f t="shared" si="101"/>
        <v>0</v>
      </c>
      <c r="J145" s="327">
        <f t="shared" si="102"/>
        <v>0</v>
      </c>
      <c r="K145" s="327">
        <f t="shared" si="103"/>
        <v>0</v>
      </c>
      <c r="L145" s="327">
        <f t="shared" si="104"/>
        <v>0</v>
      </c>
    </row>
    <row r="146" spans="1:12" s="347" customFormat="1" ht="52.8" x14ac:dyDescent="0.25">
      <c r="A146" s="342" t="s">
        <v>274</v>
      </c>
      <c r="B146" s="385"/>
      <c r="C146" s="344"/>
      <c r="D146" s="362" t="s">
        <v>277</v>
      </c>
      <c r="E146" s="361" t="s">
        <v>17</v>
      </c>
      <c r="F146" s="378">
        <f>F145</f>
        <v>136.03</v>
      </c>
      <c r="G146" s="328"/>
      <c r="H146" s="328"/>
      <c r="I146" s="327">
        <f t="shared" si="101"/>
        <v>0</v>
      </c>
      <c r="J146" s="327">
        <f t="shared" si="102"/>
        <v>0</v>
      </c>
      <c r="K146" s="327">
        <f t="shared" si="103"/>
        <v>0</v>
      </c>
      <c r="L146" s="327">
        <f t="shared" si="104"/>
        <v>0</v>
      </c>
    </row>
    <row r="147" spans="1:12" s="347" customFormat="1" ht="52.8" x14ac:dyDescent="0.25">
      <c r="A147" s="342" t="s">
        <v>275</v>
      </c>
      <c r="B147" s="361"/>
      <c r="C147" s="344"/>
      <c r="D147" s="362" t="s">
        <v>587</v>
      </c>
      <c r="E147" s="361" t="s">
        <v>17</v>
      </c>
      <c r="F147" s="378">
        <f>F145</f>
        <v>136.03</v>
      </c>
      <c r="G147" s="328"/>
      <c r="H147" s="328"/>
      <c r="I147" s="327">
        <f t="shared" si="101"/>
        <v>0</v>
      </c>
      <c r="J147" s="327">
        <f t="shared" si="102"/>
        <v>0</v>
      </c>
      <c r="K147" s="327">
        <f t="shared" si="103"/>
        <v>0</v>
      </c>
      <c r="L147" s="327">
        <f t="shared" si="104"/>
        <v>0</v>
      </c>
    </row>
    <row r="148" spans="1:12" x14ac:dyDescent="0.25">
      <c r="A148" s="364"/>
      <c r="B148" s="365"/>
      <c r="C148" s="366"/>
      <c r="D148" s="367" t="s">
        <v>324</v>
      </c>
      <c r="E148" s="368" t="s">
        <v>325</v>
      </c>
      <c r="F148" s="369"/>
      <c r="G148" s="370"/>
      <c r="H148" s="370"/>
      <c r="I148" s="370"/>
      <c r="J148" s="371">
        <f>SUM(J144:J147)</f>
        <v>0</v>
      </c>
      <c r="K148" s="371">
        <f>SUM(K144:K147)</f>
        <v>0</v>
      </c>
      <c r="L148" s="370"/>
    </row>
    <row r="149" spans="1:12" x14ac:dyDescent="0.25">
      <c r="A149" s="372"/>
      <c r="B149" s="373"/>
      <c r="C149" s="373"/>
      <c r="D149" s="372" t="s">
        <v>325</v>
      </c>
      <c r="E149" s="373" t="s">
        <v>325</v>
      </c>
      <c r="F149" s="374"/>
      <c r="G149" s="375"/>
      <c r="H149" s="375"/>
      <c r="I149" s="375"/>
      <c r="J149" s="376"/>
      <c r="K149" s="376">
        <f>SUM(J148:K148)</f>
        <v>0</v>
      </c>
      <c r="L149" s="375"/>
    </row>
    <row r="150" spans="1:12" x14ac:dyDescent="0.25">
      <c r="A150" s="206">
        <v>7</v>
      </c>
      <c r="B150" s="335"/>
      <c r="C150" s="335"/>
      <c r="D150" s="206" t="s">
        <v>92</v>
      </c>
      <c r="E150" s="206"/>
      <c r="F150" s="377"/>
      <c r="G150" s="210"/>
      <c r="H150" s="210"/>
      <c r="I150" s="210"/>
      <c r="J150" s="210"/>
      <c r="K150" s="210"/>
      <c r="L150" s="337">
        <f>L151+L158</f>
        <v>0</v>
      </c>
    </row>
    <row r="151" spans="1:12" s="341" customFormat="1" x14ac:dyDescent="0.25">
      <c r="A151" s="207" t="s">
        <v>93</v>
      </c>
      <c r="B151" s="338"/>
      <c r="C151" s="338"/>
      <c r="D151" s="207" t="s">
        <v>94</v>
      </c>
      <c r="E151" s="207"/>
      <c r="F151" s="326"/>
      <c r="G151" s="209"/>
      <c r="H151" s="209"/>
      <c r="I151" s="209"/>
      <c r="J151" s="209"/>
      <c r="K151" s="209"/>
      <c r="L151" s="340">
        <f>SUM(L152:L157)</f>
        <v>0</v>
      </c>
    </row>
    <row r="152" spans="1:12" s="347" customFormat="1" ht="39.6" x14ac:dyDescent="0.25">
      <c r="A152" s="342" t="s">
        <v>95</v>
      </c>
      <c r="B152" s="343"/>
      <c r="C152" s="344"/>
      <c r="D152" s="342" t="s">
        <v>96</v>
      </c>
      <c r="E152" s="345" t="s">
        <v>17</v>
      </c>
      <c r="F152" s="346">
        <f>F154+F156</f>
        <v>855.39999999999986</v>
      </c>
      <c r="G152" s="327"/>
      <c r="H152" s="327"/>
      <c r="I152" s="327">
        <f t="shared" ref="I152:I156" si="105">TRUNC(SUM(G152:H152),2)</f>
        <v>0</v>
      </c>
      <c r="J152" s="327">
        <f t="shared" ref="J152:J156" si="106">TRUNC(F152*G152,2)</f>
        <v>0</v>
      </c>
      <c r="K152" s="327">
        <f t="shared" ref="K152:K156" si="107">TRUNC(F152*H152,2)</f>
        <v>0</v>
      </c>
      <c r="L152" s="327">
        <f t="shared" ref="L152:L156" si="108">TRUNC(SUM(J152,K152),2)</f>
        <v>0</v>
      </c>
    </row>
    <row r="153" spans="1:12" s="347" customFormat="1" ht="39.75" customHeight="1" x14ac:dyDescent="0.25">
      <c r="A153" s="342" t="s">
        <v>607</v>
      </c>
      <c r="B153" s="343"/>
      <c r="C153" s="344"/>
      <c r="D153" s="342" t="s">
        <v>97</v>
      </c>
      <c r="E153" s="345" t="s">
        <v>17</v>
      </c>
      <c r="F153" s="346">
        <f>ROUND((33.62-(2.6*1)-(2.4*1)-(1.4*2.1))+9.87+0.35+(3.55*2.4)+(4.5*2.55)+(50.15-(3*2.75*1))+(13-(1.2*2.1)-(0.9*2.1))+(37.55-(2*2.5*1)-(1.8*1)-(0.9*2.1))+4.25+9.6+(63.33-(2.5*1))+(8.5*1.5)+(16.25*1.5)+(3.55*1.5)+(9.39*1.25)+(11.5*1.25)+(9.53*1.25)+(4.6*1.25)+(16.19*0.4)+33+((12.2*2.2)-(2*2.1))+((6.26*2.15)-(1.4*2.4)),2)</f>
        <v>368.37</v>
      </c>
      <c r="G153" s="327"/>
      <c r="H153" s="327"/>
      <c r="I153" s="327">
        <f t="shared" si="105"/>
        <v>0</v>
      </c>
      <c r="J153" s="327">
        <f t="shared" si="106"/>
        <v>0</v>
      </c>
      <c r="K153" s="327">
        <f t="shared" si="107"/>
        <v>0</v>
      </c>
      <c r="L153" s="327">
        <f t="shared" si="108"/>
        <v>0</v>
      </c>
    </row>
    <row r="154" spans="1:12" s="347" customFormat="1" ht="39.6" x14ac:dyDescent="0.25">
      <c r="A154" s="342" t="s">
        <v>608</v>
      </c>
      <c r="B154" s="343"/>
      <c r="C154" s="344"/>
      <c r="D154" s="342" t="s">
        <v>98</v>
      </c>
      <c r="E154" s="345" t="s">
        <v>17</v>
      </c>
      <c r="F154" s="346">
        <f>ROUND(((15.7*2.65)-(1.44*2.1)-(1*2.1)-(0.8*2.1))+((10.5*2.65)-(2*1*2.1))+((18.8*2.65)-(3*0.8*2.1)-(0.9*2.1)-(1.8*1))+((5.06*2.15)-(1.4*2.1))+((11*2.25)-(2*2.1))+((33.5*2.7)-(0.8*2.1)-(0.6*2.1)-(1.5*2.1)-(1.5*1)-(2*2.5*1))+((23.3*2.7)-(2*1.1*2.1)-(1.4*2.1))+((8.8*2.7)-(2*0.8*2.1)-(2*1.4*2.1)-(1*1.1))+((9.2*2.7)-(0.8*2.1)-(2.6*1)-(1*1.1))+((15.3*2.7)-(1.2*2.1))+5.1+5.1,2)</f>
        <v>343.09</v>
      </c>
      <c r="G154" s="327"/>
      <c r="H154" s="327"/>
      <c r="I154" s="327">
        <f t="shared" si="105"/>
        <v>0</v>
      </c>
      <c r="J154" s="327">
        <f t="shared" si="106"/>
        <v>0</v>
      </c>
      <c r="K154" s="327">
        <f t="shared" si="107"/>
        <v>0</v>
      </c>
      <c r="L154" s="327">
        <f t="shared" si="108"/>
        <v>0</v>
      </c>
    </row>
    <row r="155" spans="1:12" s="347" customFormat="1" ht="36.75" customHeight="1" x14ac:dyDescent="0.25">
      <c r="A155" s="342" t="s">
        <v>609</v>
      </c>
      <c r="B155" s="354"/>
      <c r="C155" s="344"/>
      <c r="D155" s="342" t="s">
        <v>603</v>
      </c>
      <c r="E155" s="345" t="s">
        <v>17</v>
      </c>
      <c r="F155" s="346">
        <f>F153</f>
        <v>368.37</v>
      </c>
      <c r="G155" s="327"/>
      <c r="H155" s="327"/>
      <c r="I155" s="327">
        <f t="shared" si="105"/>
        <v>0</v>
      </c>
      <c r="J155" s="327">
        <f t="shared" si="106"/>
        <v>0</v>
      </c>
      <c r="K155" s="327">
        <f t="shared" si="107"/>
        <v>0</v>
      </c>
      <c r="L155" s="327">
        <f t="shared" si="108"/>
        <v>0</v>
      </c>
    </row>
    <row r="156" spans="1:12" s="347" customFormat="1" ht="39.6" x14ac:dyDescent="0.25">
      <c r="A156" s="342" t="s">
        <v>610</v>
      </c>
      <c r="B156" s="343"/>
      <c r="C156" s="344"/>
      <c r="D156" s="342" t="s">
        <v>99</v>
      </c>
      <c r="E156" s="345" t="s">
        <v>17</v>
      </c>
      <c r="F156" s="346">
        <f>F164</f>
        <v>512.30999999999995</v>
      </c>
      <c r="G156" s="327"/>
      <c r="H156" s="327"/>
      <c r="I156" s="327">
        <f t="shared" si="105"/>
        <v>0</v>
      </c>
      <c r="J156" s="327">
        <f t="shared" si="106"/>
        <v>0</v>
      </c>
      <c r="K156" s="327">
        <f t="shared" si="107"/>
        <v>0</v>
      </c>
      <c r="L156" s="327">
        <f t="shared" si="108"/>
        <v>0</v>
      </c>
    </row>
    <row r="157" spans="1:12" s="347" customFormat="1" ht="26.4" x14ac:dyDescent="0.25">
      <c r="A157" s="342" t="s">
        <v>278</v>
      </c>
      <c r="B157" s="354"/>
      <c r="C157" s="344"/>
      <c r="D157" s="342" t="s">
        <v>100</v>
      </c>
      <c r="E157" s="345" t="s">
        <v>17</v>
      </c>
      <c r="F157" s="346">
        <f>ROUND((10.85*2.65)+(16.6+3.65+4.6+2.4+6.25)*2.7-(2.6*1)-(1.4*2.1)-(2.5*1*2)-(1.5*1.1),2)</f>
        <v>107.01</v>
      </c>
      <c r="G157" s="327"/>
      <c r="H157" s="327"/>
      <c r="I157" s="327">
        <f>TRUNC(SUM(G157:H157),2)</f>
        <v>0</v>
      </c>
      <c r="J157" s="327">
        <f>TRUNC(F157*G157,2)</f>
        <v>0</v>
      </c>
      <c r="K157" s="327">
        <f>TRUNC(F157*H157,2)</f>
        <v>0</v>
      </c>
      <c r="L157" s="327">
        <f>TRUNC(SUM(J157,K157),2)</f>
        <v>0</v>
      </c>
    </row>
    <row r="158" spans="1:12" s="341" customFormat="1" x14ac:dyDescent="0.25">
      <c r="A158" s="207" t="s">
        <v>101</v>
      </c>
      <c r="B158" s="338"/>
      <c r="C158" s="338"/>
      <c r="D158" s="207" t="s">
        <v>102</v>
      </c>
      <c r="E158" s="207"/>
      <c r="F158" s="326"/>
      <c r="G158" s="209"/>
      <c r="H158" s="209"/>
      <c r="I158" s="209"/>
      <c r="J158" s="209"/>
      <c r="K158" s="209"/>
      <c r="L158" s="340">
        <f>SUM(L159:L164)</f>
        <v>0</v>
      </c>
    </row>
    <row r="159" spans="1:12" s="347" customFormat="1" ht="26.4" x14ac:dyDescent="0.25">
      <c r="A159" s="342" t="s">
        <v>103</v>
      </c>
      <c r="B159" s="343"/>
      <c r="C159" s="344"/>
      <c r="D159" s="342" t="s">
        <v>104</v>
      </c>
      <c r="E159" s="345" t="s">
        <v>17</v>
      </c>
      <c r="F159" s="346">
        <f>F162+F163</f>
        <v>711.45999999999992</v>
      </c>
      <c r="G159" s="327"/>
      <c r="H159" s="327"/>
      <c r="I159" s="327">
        <f t="shared" ref="I159:I164" si="109">TRUNC(SUM(G159:H159),2)</f>
        <v>0</v>
      </c>
      <c r="J159" s="327">
        <f t="shared" ref="J159:J164" si="110">TRUNC(F159*G159,2)</f>
        <v>0</v>
      </c>
      <c r="K159" s="327">
        <f t="shared" ref="K159:K164" si="111">TRUNC(F159*H159,2)</f>
        <v>0</v>
      </c>
      <c r="L159" s="327">
        <f t="shared" ref="L159:L164" si="112">TRUNC(SUM(J159,K159),2)</f>
        <v>0</v>
      </c>
    </row>
    <row r="160" spans="1:12" s="347" customFormat="1" ht="26.4" x14ac:dyDescent="0.25">
      <c r="A160" s="342" t="s">
        <v>604</v>
      </c>
      <c r="B160" s="343"/>
      <c r="C160" s="344"/>
      <c r="D160" s="342" t="s">
        <v>1000</v>
      </c>
      <c r="E160" s="345" t="s">
        <v>17</v>
      </c>
      <c r="F160" s="346">
        <f>F157</f>
        <v>107.01</v>
      </c>
      <c r="G160" s="327"/>
      <c r="H160" s="327"/>
      <c r="I160" s="327">
        <f t="shared" ref="I160" si="113">TRUNC(SUM(G160:H160),2)</f>
        <v>0</v>
      </c>
      <c r="J160" s="327">
        <f t="shared" si="110"/>
        <v>0</v>
      </c>
      <c r="K160" s="327">
        <f t="shared" si="111"/>
        <v>0</v>
      </c>
      <c r="L160" s="327">
        <f t="shared" si="112"/>
        <v>0</v>
      </c>
    </row>
    <row r="161" spans="1:12" s="347" customFormat="1" ht="26.4" x14ac:dyDescent="0.25">
      <c r="A161" s="342" t="s">
        <v>605</v>
      </c>
      <c r="B161" s="385"/>
      <c r="C161" s="361"/>
      <c r="D161" s="342" t="s">
        <v>1001</v>
      </c>
      <c r="E161" s="345" t="s">
        <v>17</v>
      </c>
      <c r="F161" s="378">
        <f>ROUND(((16.9+1.4+6.25+1.4)*2.7)-(0.6*2.1)-(1.5*2.1),2)</f>
        <v>65.66</v>
      </c>
      <c r="G161" s="328"/>
      <c r="H161" s="328"/>
      <c r="I161" s="327">
        <f t="shared" ref="I161" si="114">TRUNC(SUM(G161:H161),2)</f>
        <v>0</v>
      </c>
      <c r="J161" s="327">
        <f t="shared" ref="J161" si="115">TRUNC(F161*G161,2)</f>
        <v>0</v>
      </c>
      <c r="K161" s="327">
        <f t="shared" ref="K161" si="116">TRUNC(F161*H161,2)</f>
        <v>0</v>
      </c>
      <c r="L161" s="327">
        <f t="shared" ref="L161" si="117">TRUNC(SUM(J161,K161),2)</f>
        <v>0</v>
      </c>
    </row>
    <row r="162" spans="1:12" s="347" customFormat="1" ht="26.4" x14ac:dyDescent="0.25">
      <c r="A162" s="342" t="s">
        <v>606</v>
      </c>
      <c r="B162" s="343"/>
      <c r="C162" s="344"/>
      <c r="D162" s="342" t="s">
        <v>105</v>
      </c>
      <c r="E162" s="345" t="s">
        <v>17</v>
      </c>
      <c r="F162" s="346">
        <f>ROUND(((15.7*2.65)-(1.44*2.1)-(1*2.1)-(0.8*2.1))+((10.5*2.65)-(2*1*2.1))+((18.8*2.65)-(3*0.8*2.1)-(0.9*2.1)-(1.8*1))+((5.06*2.15)-(1.4*2.1))+((11*2.25)-(2*2.1))+((33.5*2.7)-(0.8*2.1)-(0.6*2.1)-(1.5*2.1)-(1.5*1)-(2*2.5*1))+((23.3*2.7)-(2*1.1*2.1)-(1.4*2.1))+((8.8*2.7)-(2*0.8*2.1)-(2*1.4*2.1)-(1*1.1))+((9.2*2.7)-(0.8*2.1)-(2.6*1)-(1*1.1))+((15.3*2.7)-(1.2*2.1))+5.1+5.1+(50.15-(3*2.75*1))+(13-(1.2*2.1)-(0.9*2.1))+(37.55-(2*2.5*1)-(1.8*1)-(0.9*2.1))+4.25+9.6+(63.33-(2.5*1))+(8.5*1.5)+(16.25*1.5)+(3.55*1.5)+(9.39*1.25)+(11.5*1.25)+(9.53*1.25)+(4.6*1.25)+(16.19*0.4)+33+((12.2*2.2)-(2*2.1))+((6.26*2.15)-(1.4*2.4)),2)</f>
        <v>655.56</v>
      </c>
      <c r="G162" s="327"/>
      <c r="H162" s="327"/>
      <c r="I162" s="327">
        <f t="shared" si="109"/>
        <v>0</v>
      </c>
      <c r="J162" s="327">
        <f t="shared" si="110"/>
        <v>0</v>
      </c>
      <c r="K162" s="327">
        <f t="shared" si="111"/>
        <v>0</v>
      </c>
      <c r="L162" s="327">
        <f t="shared" si="112"/>
        <v>0</v>
      </c>
    </row>
    <row r="163" spans="1:12" s="347" customFormat="1" ht="27" customHeight="1" x14ac:dyDescent="0.25">
      <c r="A163" s="342" t="s">
        <v>972</v>
      </c>
      <c r="B163" s="343"/>
      <c r="C163" s="344"/>
      <c r="D163" s="342" t="s">
        <v>106</v>
      </c>
      <c r="E163" s="345" t="s">
        <v>17</v>
      </c>
      <c r="F163" s="346">
        <f>ROUND((33.62-(2.6*1)-(2.4*1)-(1.4*2.1))+9.87+0.35+(3.55*2.4)+(4.5*2.55),2)</f>
        <v>55.9</v>
      </c>
      <c r="G163" s="327"/>
      <c r="H163" s="327"/>
      <c r="I163" s="327">
        <f t="shared" si="109"/>
        <v>0</v>
      </c>
      <c r="J163" s="327">
        <f t="shared" si="110"/>
        <v>0</v>
      </c>
      <c r="K163" s="327">
        <f t="shared" si="111"/>
        <v>0</v>
      </c>
      <c r="L163" s="327">
        <f t="shared" si="112"/>
        <v>0</v>
      </c>
    </row>
    <row r="164" spans="1:12" s="347" customFormat="1" ht="39.6" x14ac:dyDescent="0.25">
      <c r="A164" s="342" t="s">
        <v>999</v>
      </c>
      <c r="B164" s="354"/>
      <c r="C164" s="344"/>
      <c r="D164" s="342" t="s">
        <v>602</v>
      </c>
      <c r="E164" s="345" t="s">
        <v>17</v>
      </c>
      <c r="F164" s="346">
        <f>ROUND(((17.6*2.65)-(1.44*2.1)-(1.2*2.1))+((13.2*2.65)-(0.8*2.1)-(0.9*2.1)-(1.45*1.1))+((12.7*2.65)-(1.2*2.1)-(0.8*2.1)-(1.2*2.1)-(1*2.1)-(0.6*1.1))+((15.2*2.65)-(0.8*2.1)-(1.5*1))+((13.3*2.65)-(0.8*2.1)-(2*0.7))+((13.3*2.65)-(0.8*2.1)-(2*0.7))+((12.7*2.7)-(0.9*2.1))+((12.7*2.7)-(0.9*2.1))+((12.7*2.7)-(0.9*2.1))+((14.7*2.7)-(0.9*2.1))+((8.7*2.7)-(0.6*2.1)-(2.5*1))+((9.4*2.7)-(0.8*2.1)-(2.4*1))+((12.9*2.7)-(0.8*2.1)-(3.8*1)-(1.8*1))+((52.4*2.7)-(4*0.9*2.1)-(0.8*2.1)-(1.5*2.1)-(1.2*2.1)-(1.1*2.1)-(3*2.75*1)-(3.8*1)),2)</f>
        <v>512.30999999999995</v>
      </c>
      <c r="G164" s="327"/>
      <c r="H164" s="327"/>
      <c r="I164" s="327">
        <f t="shared" si="109"/>
        <v>0</v>
      </c>
      <c r="J164" s="327">
        <f t="shared" si="110"/>
        <v>0</v>
      </c>
      <c r="K164" s="327">
        <f t="shared" si="111"/>
        <v>0</v>
      </c>
      <c r="L164" s="327">
        <f t="shared" si="112"/>
        <v>0</v>
      </c>
    </row>
    <row r="165" spans="1:12" x14ac:dyDescent="0.25">
      <c r="A165" s="364"/>
      <c r="B165" s="365"/>
      <c r="C165" s="366"/>
      <c r="D165" s="367" t="s">
        <v>324</v>
      </c>
      <c r="E165" s="368" t="s">
        <v>325</v>
      </c>
      <c r="F165" s="369"/>
      <c r="G165" s="370"/>
      <c r="H165" s="370"/>
      <c r="I165" s="370"/>
      <c r="J165" s="371">
        <f>SUM(J152:J164)</f>
        <v>0</v>
      </c>
      <c r="K165" s="371">
        <f>SUM(K152:K164)</f>
        <v>0</v>
      </c>
      <c r="L165" s="370"/>
    </row>
    <row r="166" spans="1:12" x14ac:dyDescent="0.25">
      <c r="A166" s="372"/>
      <c r="B166" s="373"/>
      <c r="C166" s="373"/>
      <c r="D166" s="372" t="s">
        <v>325</v>
      </c>
      <c r="E166" s="373" t="s">
        <v>325</v>
      </c>
      <c r="F166" s="374"/>
      <c r="G166" s="375"/>
      <c r="H166" s="375"/>
      <c r="I166" s="375"/>
      <c r="J166" s="376"/>
      <c r="K166" s="376">
        <f>SUM(J165:K165)</f>
        <v>0</v>
      </c>
      <c r="L166" s="375"/>
    </row>
    <row r="167" spans="1:12" x14ac:dyDescent="0.25">
      <c r="A167" s="206">
        <v>8</v>
      </c>
      <c r="B167" s="335"/>
      <c r="C167" s="335"/>
      <c r="D167" s="206" t="s">
        <v>107</v>
      </c>
      <c r="E167" s="206"/>
      <c r="F167" s="377"/>
      <c r="G167" s="210"/>
      <c r="H167" s="210"/>
      <c r="I167" s="210"/>
      <c r="J167" s="210"/>
      <c r="K167" s="210"/>
      <c r="L167" s="337">
        <f>L168+L171</f>
        <v>0</v>
      </c>
    </row>
    <row r="168" spans="1:12" s="341" customFormat="1" x14ac:dyDescent="0.25">
      <c r="A168" s="207" t="s">
        <v>108</v>
      </c>
      <c r="B168" s="338"/>
      <c r="C168" s="338"/>
      <c r="D168" s="207" t="s">
        <v>110</v>
      </c>
      <c r="E168" s="207"/>
      <c r="F168" s="326"/>
      <c r="G168" s="209"/>
      <c r="H168" s="209"/>
      <c r="I168" s="209"/>
      <c r="J168" s="209"/>
      <c r="K168" s="209"/>
      <c r="L168" s="340">
        <f>SUM(L169:L170)</f>
        <v>0</v>
      </c>
    </row>
    <row r="169" spans="1:12" s="347" customFormat="1" ht="26.4" x14ac:dyDescent="0.25">
      <c r="A169" s="342" t="s">
        <v>109</v>
      </c>
      <c r="B169" s="354"/>
      <c r="C169" s="344"/>
      <c r="D169" s="342" t="s">
        <v>279</v>
      </c>
      <c r="E169" s="345" t="s">
        <v>17</v>
      </c>
      <c r="F169" s="346">
        <f>5.52+1.92+1.92+13.48+5.44+12.09+11.02+11.03+7.38+10.25</f>
        <v>80.05</v>
      </c>
      <c r="G169" s="327"/>
      <c r="H169" s="327"/>
      <c r="I169" s="327">
        <f t="shared" ref="I169:I170" si="118">TRUNC(SUM(G169:H169),2)</f>
        <v>0</v>
      </c>
      <c r="J169" s="327">
        <f t="shared" ref="J169:J170" si="119">TRUNC(F169*G169,2)</f>
        <v>0</v>
      </c>
      <c r="K169" s="327">
        <f t="shared" ref="K169:K170" si="120">TRUNC(F169*H169,2)</f>
        <v>0</v>
      </c>
      <c r="L169" s="327">
        <f t="shared" ref="L169:L170" si="121">TRUNC(SUM(J169,K169),2)</f>
        <v>0</v>
      </c>
    </row>
    <row r="170" spans="1:12" s="347" customFormat="1" ht="39.6" x14ac:dyDescent="0.25">
      <c r="A170" s="342" t="s">
        <v>426</v>
      </c>
      <c r="B170" s="361"/>
      <c r="C170" s="361"/>
      <c r="D170" s="362" t="s">
        <v>425</v>
      </c>
      <c r="E170" s="361" t="s">
        <v>89</v>
      </c>
      <c r="F170" s="378">
        <f>10.1+5.6+5.6+15.1+10.4+13.3+21.4+13.3+11.8+13.2</f>
        <v>119.8</v>
      </c>
      <c r="G170" s="328"/>
      <c r="H170" s="328"/>
      <c r="I170" s="327">
        <f t="shared" si="118"/>
        <v>0</v>
      </c>
      <c r="J170" s="327">
        <f t="shared" si="119"/>
        <v>0</v>
      </c>
      <c r="K170" s="327">
        <f t="shared" si="120"/>
        <v>0</v>
      </c>
      <c r="L170" s="327">
        <f t="shared" si="121"/>
        <v>0</v>
      </c>
    </row>
    <row r="171" spans="1:12" s="341" customFormat="1" x14ac:dyDescent="0.25">
      <c r="A171" s="207" t="s">
        <v>280</v>
      </c>
      <c r="B171" s="338"/>
      <c r="C171" s="338"/>
      <c r="D171" s="207" t="s">
        <v>102</v>
      </c>
      <c r="E171" s="207"/>
      <c r="F171" s="326"/>
      <c r="G171" s="209"/>
      <c r="H171" s="209"/>
      <c r="I171" s="209"/>
      <c r="J171" s="209"/>
      <c r="K171" s="209"/>
      <c r="L171" s="340">
        <f>SUM(L172:L176)</f>
        <v>0</v>
      </c>
    </row>
    <row r="172" spans="1:12" s="347" customFormat="1" ht="26.4" x14ac:dyDescent="0.25">
      <c r="A172" s="342" t="s">
        <v>111</v>
      </c>
      <c r="B172" s="354"/>
      <c r="C172" s="344"/>
      <c r="D172" s="342" t="s">
        <v>100</v>
      </c>
      <c r="E172" s="345" t="s">
        <v>17</v>
      </c>
      <c r="F172" s="346">
        <f>40.36+4.27+8.75+9.02+77.03+9.62+9.44+9.26+12.09+1.17+5.4+4.8+5.2+29.2+10.12+9.5+18.02</f>
        <v>263.25</v>
      </c>
      <c r="G172" s="327"/>
      <c r="H172" s="327"/>
      <c r="I172" s="327">
        <f t="shared" ref="I172:I176" si="122">TRUNC(SUM(G172:H172),2)</f>
        <v>0</v>
      </c>
      <c r="J172" s="327">
        <f t="shared" ref="J172:J176" si="123">TRUNC(F172*G172,2)</f>
        <v>0</v>
      </c>
      <c r="K172" s="327">
        <f t="shared" ref="K172:K176" si="124">TRUNC(F172*H172,2)</f>
        <v>0</v>
      </c>
      <c r="L172" s="327">
        <f t="shared" ref="L172:L176" si="125">TRUNC(SUM(J172,K172),2)</f>
        <v>0</v>
      </c>
    </row>
    <row r="173" spans="1:12" s="347" customFormat="1" ht="26.4" x14ac:dyDescent="0.25">
      <c r="A173" s="342" t="s">
        <v>281</v>
      </c>
      <c r="B173" s="343"/>
      <c r="C173" s="344"/>
      <c r="D173" s="342" t="s">
        <v>997</v>
      </c>
      <c r="E173" s="345" t="s">
        <v>17</v>
      </c>
      <c r="F173" s="346">
        <f>F172</f>
        <v>263.25</v>
      </c>
      <c r="G173" s="327"/>
      <c r="H173" s="327"/>
      <c r="I173" s="327">
        <f>TRUNC(SUM(G173:H173),2)</f>
        <v>0</v>
      </c>
      <c r="J173" s="327">
        <f>TRUNC(F173*G173,2)</f>
        <v>0</v>
      </c>
      <c r="K173" s="327">
        <f>TRUNC(F173*H173,2)</f>
        <v>0</v>
      </c>
      <c r="L173" s="327">
        <f>TRUNC(SUM(J173,K173),2)</f>
        <v>0</v>
      </c>
    </row>
    <row r="174" spans="1:12" s="347" customFormat="1" ht="26.4" x14ac:dyDescent="0.25">
      <c r="A174" s="342" t="s">
        <v>282</v>
      </c>
      <c r="B174" s="385"/>
      <c r="C174" s="344"/>
      <c r="D174" s="342" t="s">
        <v>998</v>
      </c>
      <c r="E174" s="345" t="s">
        <v>17</v>
      </c>
      <c r="F174" s="378">
        <f>F169</f>
        <v>80.05</v>
      </c>
      <c r="G174" s="328"/>
      <c r="H174" s="328"/>
      <c r="I174" s="327">
        <f>TRUNC(SUM(G174:H174),2)</f>
        <v>0</v>
      </c>
      <c r="J174" s="327">
        <f>TRUNC(F174*G174,2)</f>
        <v>0</v>
      </c>
      <c r="K174" s="327">
        <f>TRUNC(F174*H174,2)</f>
        <v>0</v>
      </c>
      <c r="L174" s="327">
        <f>TRUNC(SUM(J174,K174),2)</f>
        <v>0</v>
      </c>
    </row>
    <row r="175" spans="1:12" s="347" customFormat="1" ht="26.4" x14ac:dyDescent="0.25">
      <c r="A175" s="342" t="s">
        <v>428</v>
      </c>
      <c r="B175" s="385"/>
      <c r="C175" s="361"/>
      <c r="D175" s="362" t="s">
        <v>427</v>
      </c>
      <c r="E175" s="361" t="s">
        <v>17</v>
      </c>
      <c r="F175" s="378">
        <f>F173+F174+1.36+7.56+2.48</f>
        <v>354.70000000000005</v>
      </c>
      <c r="G175" s="328"/>
      <c r="H175" s="328"/>
      <c r="I175" s="327">
        <f t="shared" si="122"/>
        <v>0</v>
      </c>
      <c r="J175" s="327">
        <f t="shared" si="123"/>
        <v>0</v>
      </c>
      <c r="K175" s="327">
        <f t="shared" si="124"/>
        <v>0</v>
      </c>
      <c r="L175" s="327">
        <f t="shared" si="125"/>
        <v>0</v>
      </c>
    </row>
    <row r="176" spans="1:12" s="347" customFormat="1" ht="26.4" x14ac:dyDescent="0.25">
      <c r="A176" s="342" t="s">
        <v>996</v>
      </c>
      <c r="B176" s="343"/>
      <c r="C176" s="344"/>
      <c r="D176" s="342" t="s">
        <v>718</v>
      </c>
      <c r="E176" s="345" t="s">
        <v>17</v>
      </c>
      <c r="F176" s="346">
        <f>F175</f>
        <v>354.70000000000005</v>
      </c>
      <c r="G176" s="327"/>
      <c r="H176" s="327"/>
      <c r="I176" s="327">
        <f t="shared" si="122"/>
        <v>0</v>
      </c>
      <c r="J176" s="327">
        <f t="shared" si="123"/>
        <v>0</v>
      </c>
      <c r="K176" s="327">
        <f t="shared" si="124"/>
        <v>0</v>
      </c>
      <c r="L176" s="327">
        <f t="shared" si="125"/>
        <v>0</v>
      </c>
    </row>
    <row r="177" spans="1:12" x14ac:dyDescent="0.25">
      <c r="A177" s="364"/>
      <c r="B177" s="365"/>
      <c r="C177" s="366"/>
      <c r="D177" s="367" t="s">
        <v>324</v>
      </c>
      <c r="E177" s="368" t="s">
        <v>325</v>
      </c>
      <c r="F177" s="369"/>
      <c r="G177" s="370"/>
      <c r="H177" s="370"/>
      <c r="I177" s="370"/>
      <c r="J177" s="371">
        <f>SUM(J169:J176)</f>
        <v>0</v>
      </c>
      <c r="K177" s="371">
        <f>SUM(K169:K176)</f>
        <v>0</v>
      </c>
      <c r="L177" s="370"/>
    </row>
    <row r="178" spans="1:12" x14ac:dyDescent="0.25">
      <c r="A178" s="372"/>
      <c r="B178" s="373"/>
      <c r="C178" s="373"/>
      <c r="D178" s="372" t="s">
        <v>325</v>
      </c>
      <c r="E178" s="373" t="s">
        <v>325</v>
      </c>
      <c r="F178" s="374"/>
      <c r="G178" s="375"/>
      <c r="H178" s="375"/>
      <c r="I178" s="375"/>
      <c r="J178" s="376"/>
      <c r="K178" s="376">
        <f>SUM(J177:K177)</f>
        <v>0</v>
      </c>
      <c r="L178" s="375"/>
    </row>
    <row r="179" spans="1:12" x14ac:dyDescent="0.25">
      <c r="A179" s="206">
        <v>9</v>
      </c>
      <c r="B179" s="335"/>
      <c r="C179" s="335"/>
      <c r="D179" s="206" t="s">
        <v>112</v>
      </c>
      <c r="E179" s="206"/>
      <c r="F179" s="377"/>
      <c r="G179" s="210"/>
      <c r="H179" s="210"/>
      <c r="I179" s="210"/>
      <c r="J179" s="210"/>
      <c r="K179" s="210"/>
      <c r="L179" s="337">
        <f>L180+L185</f>
        <v>0</v>
      </c>
    </row>
    <row r="180" spans="1:12" s="341" customFormat="1" x14ac:dyDescent="0.25">
      <c r="A180" s="207" t="s">
        <v>113</v>
      </c>
      <c r="B180" s="338"/>
      <c r="C180" s="338"/>
      <c r="D180" s="207" t="s">
        <v>114</v>
      </c>
      <c r="E180" s="207"/>
      <c r="F180" s="326"/>
      <c r="G180" s="209"/>
      <c r="H180" s="209"/>
      <c r="I180" s="209"/>
      <c r="J180" s="209"/>
      <c r="K180" s="209"/>
      <c r="L180" s="340">
        <f>SUM(L181:L184)</f>
        <v>0</v>
      </c>
    </row>
    <row r="181" spans="1:12" s="347" customFormat="1" ht="39.6" x14ac:dyDescent="0.25">
      <c r="A181" s="342" t="s">
        <v>115</v>
      </c>
      <c r="B181" s="343"/>
      <c r="C181" s="344"/>
      <c r="D181" s="342" t="s">
        <v>71</v>
      </c>
      <c r="E181" s="345" t="s">
        <v>17</v>
      </c>
      <c r="F181" s="346">
        <f>(55.03+38.98+12.72)+(31.16+6.47)+6.45</f>
        <v>150.80999999999997</v>
      </c>
      <c r="G181" s="327"/>
      <c r="H181" s="327"/>
      <c r="I181" s="327">
        <f t="shared" ref="I181:I184" si="126">TRUNC(SUM(G181:H181),2)</f>
        <v>0</v>
      </c>
      <c r="J181" s="327">
        <f t="shared" ref="J181:J184" si="127">TRUNC(F181*G181,2)</f>
        <v>0</v>
      </c>
      <c r="K181" s="327">
        <f t="shared" ref="K181:K184" si="128">TRUNC(F181*H181,2)</f>
        <v>0</v>
      </c>
      <c r="L181" s="327">
        <f t="shared" ref="L181:L184" si="129">TRUNC(SUM(J181,K181),2)</f>
        <v>0</v>
      </c>
    </row>
    <row r="182" spans="1:12" s="347" customFormat="1" ht="26.4" x14ac:dyDescent="0.25">
      <c r="A182" s="342" t="s">
        <v>283</v>
      </c>
      <c r="B182" s="343"/>
      <c r="C182" s="344"/>
      <c r="D182" s="342" t="s">
        <v>429</v>
      </c>
      <c r="E182" s="345" t="s">
        <v>58</v>
      </c>
      <c r="F182" s="346">
        <f>ROUND(F181*0.05,2)</f>
        <v>7.54</v>
      </c>
      <c r="G182" s="327"/>
      <c r="H182" s="327"/>
      <c r="I182" s="327">
        <f t="shared" si="126"/>
        <v>0</v>
      </c>
      <c r="J182" s="327">
        <f t="shared" si="127"/>
        <v>0</v>
      </c>
      <c r="K182" s="327">
        <f t="shared" si="128"/>
        <v>0</v>
      </c>
      <c r="L182" s="327">
        <f t="shared" si="129"/>
        <v>0</v>
      </c>
    </row>
    <row r="183" spans="1:12" s="347" customFormat="1" ht="39.6" x14ac:dyDescent="0.25">
      <c r="A183" s="342" t="s">
        <v>284</v>
      </c>
      <c r="B183" s="361"/>
      <c r="C183" s="344"/>
      <c r="D183" s="362" t="s">
        <v>585</v>
      </c>
      <c r="E183" s="361" t="s">
        <v>17</v>
      </c>
      <c r="F183" s="346">
        <f>(55.03+38.98+12.72)+(31.16+6.47)+6.45</f>
        <v>150.80999999999997</v>
      </c>
      <c r="G183" s="328"/>
      <c r="H183" s="328"/>
      <c r="I183" s="327">
        <f t="shared" si="126"/>
        <v>0</v>
      </c>
      <c r="J183" s="327">
        <f t="shared" si="127"/>
        <v>0</v>
      </c>
      <c r="K183" s="327">
        <f t="shared" si="128"/>
        <v>0</v>
      </c>
      <c r="L183" s="327">
        <f t="shared" si="129"/>
        <v>0</v>
      </c>
    </row>
    <row r="184" spans="1:12" s="347" customFormat="1" ht="40.5" customHeight="1" x14ac:dyDescent="0.25">
      <c r="A184" s="342" t="s">
        <v>285</v>
      </c>
      <c r="B184" s="385"/>
      <c r="C184" s="361"/>
      <c r="D184" s="362" t="s">
        <v>116</v>
      </c>
      <c r="E184" s="361" t="s">
        <v>17</v>
      </c>
      <c r="F184" s="378">
        <f>F186+F187+F188+F189-(16*0.175*1.4)</f>
        <v>399.46</v>
      </c>
      <c r="G184" s="328"/>
      <c r="H184" s="328"/>
      <c r="I184" s="328">
        <f t="shared" si="126"/>
        <v>0</v>
      </c>
      <c r="J184" s="328">
        <f t="shared" si="127"/>
        <v>0</v>
      </c>
      <c r="K184" s="328">
        <f t="shared" si="128"/>
        <v>0</v>
      </c>
      <c r="L184" s="328">
        <f t="shared" si="129"/>
        <v>0</v>
      </c>
    </row>
    <row r="185" spans="1:12" s="341" customFormat="1" x14ac:dyDescent="0.25">
      <c r="A185" s="207" t="s">
        <v>117</v>
      </c>
      <c r="B185" s="338"/>
      <c r="C185" s="338"/>
      <c r="D185" s="207" t="s">
        <v>719</v>
      </c>
      <c r="E185" s="207"/>
      <c r="F185" s="326"/>
      <c r="G185" s="209"/>
      <c r="H185" s="209"/>
      <c r="I185" s="209"/>
      <c r="J185" s="209"/>
      <c r="K185" s="209"/>
      <c r="L185" s="340">
        <f>SUM(L186:L190)</f>
        <v>0</v>
      </c>
    </row>
    <row r="186" spans="1:12" s="347" customFormat="1" ht="39.6" x14ac:dyDescent="0.25">
      <c r="A186" s="342" t="s">
        <v>586</v>
      </c>
      <c r="B186" s="354"/>
      <c r="C186" s="344"/>
      <c r="D186" s="342" t="s">
        <v>118</v>
      </c>
      <c r="E186" s="345" t="s">
        <v>17</v>
      </c>
      <c r="F186" s="346">
        <f>(10+13.72+11.25+5.51+19.28+10.25+8.14)+(29.2+52+4.8+5.4)+(9.59+(16*0.175*1.4))</f>
        <v>183.06</v>
      </c>
      <c r="G186" s="327"/>
      <c r="H186" s="327"/>
      <c r="I186" s="327">
        <f t="shared" ref="I186:I190" si="130">TRUNC(SUM(G186:H186),2)</f>
        <v>0</v>
      </c>
      <c r="J186" s="327">
        <f t="shared" ref="J186:J190" si="131">TRUNC(F186*G186,2)</f>
        <v>0</v>
      </c>
      <c r="K186" s="327">
        <f t="shared" ref="K186:K190" si="132">TRUNC(F186*H186,2)</f>
        <v>0</v>
      </c>
      <c r="L186" s="327">
        <f t="shared" ref="L186:L190" si="133">TRUNC(SUM(J186,K186),2)</f>
        <v>0</v>
      </c>
    </row>
    <row r="187" spans="1:12" s="347" customFormat="1" ht="39.6" x14ac:dyDescent="0.25">
      <c r="A187" s="342" t="s">
        <v>287</v>
      </c>
      <c r="B187" s="361"/>
      <c r="C187" s="361"/>
      <c r="D187" s="362" t="s">
        <v>119</v>
      </c>
      <c r="E187" s="361" t="s">
        <v>17</v>
      </c>
      <c r="F187" s="378">
        <f>11.02+11.03</f>
        <v>22.049999999999997</v>
      </c>
      <c r="G187" s="328"/>
      <c r="H187" s="328"/>
      <c r="I187" s="328">
        <f t="shared" si="130"/>
        <v>0</v>
      </c>
      <c r="J187" s="328">
        <f t="shared" si="131"/>
        <v>0</v>
      </c>
      <c r="K187" s="328">
        <f t="shared" si="132"/>
        <v>0</v>
      </c>
      <c r="L187" s="328">
        <f t="shared" si="133"/>
        <v>0</v>
      </c>
    </row>
    <row r="188" spans="1:12" s="347" customFormat="1" ht="39.6" x14ac:dyDescent="0.25">
      <c r="A188" s="342" t="s">
        <v>288</v>
      </c>
      <c r="B188" s="343"/>
      <c r="C188" s="344"/>
      <c r="D188" s="342" t="s">
        <v>286</v>
      </c>
      <c r="E188" s="345" t="s">
        <v>17</v>
      </c>
      <c r="F188" s="346">
        <f>10.12+9.5+7.56</f>
        <v>27.179999999999996</v>
      </c>
      <c r="G188" s="327"/>
      <c r="H188" s="327"/>
      <c r="I188" s="327">
        <f t="shared" si="130"/>
        <v>0</v>
      </c>
      <c r="J188" s="327">
        <f t="shared" si="131"/>
        <v>0</v>
      </c>
      <c r="K188" s="327">
        <f t="shared" si="132"/>
        <v>0</v>
      </c>
      <c r="L188" s="327">
        <f t="shared" si="133"/>
        <v>0</v>
      </c>
    </row>
    <row r="189" spans="1:12" s="347" customFormat="1" ht="27" customHeight="1" x14ac:dyDescent="0.25">
      <c r="A189" s="342" t="s">
        <v>289</v>
      </c>
      <c r="B189" s="354"/>
      <c r="C189" s="361"/>
      <c r="D189" s="342" t="s">
        <v>712</v>
      </c>
      <c r="E189" s="345" t="s">
        <v>17</v>
      </c>
      <c r="F189" s="378">
        <f>40.36+4.27+9.02+77.03+9.62+9.44+9.26+12.09</f>
        <v>171.09</v>
      </c>
      <c r="G189" s="328"/>
      <c r="H189" s="328"/>
      <c r="I189" s="327">
        <f t="shared" ref="I189" si="134">TRUNC(SUM(G189:H189),2)</f>
        <v>0</v>
      </c>
      <c r="J189" s="327">
        <f t="shared" ref="J189" si="135">TRUNC(F189*G189,2)</f>
        <v>0</v>
      </c>
      <c r="K189" s="327">
        <f t="shared" ref="K189" si="136">TRUNC(F189*H189,2)</f>
        <v>0</v>
      </c>
      <c r="L189" s="327">
        <f t="shared" ref="L189" si="137">TRUNC(SUM(J189,K189),2)</f>
        <v>0</v>
      </c>
    </row>
    <row r="190" spans="1:12" s="347" customFormat="1" ht="39.6" x14ac:dyDescent="0.25">
      <c r="A190" s="342" t="s">
        <v>290</v>
      </c>
      <c r="B190" s="354"/>
      <c r="C190" s="344"/>
      <c r="D190" s="342" t="s">
        <v>120</v>
      </c>
      <c r="E190" s="345" t="s">
        <v>17</v>
      </c>
      <c r="F190" s="346">
        <f>(0.16+0.29+0.16+0.12+0.19+0.21+0.13+0.12+0.31+0.24+0.12+0.19)+(0.16+0.09+0.09+0.09+0.09+0.16+0.16+0.17+0.22+0.13+0.13+0.29+0.09+0.25+0.08+0.07)</f>
        <v>4.51</v>
      </c>
      <c r="G190" s="327"/>
      <c r="H190" s="327"/>
      <c r="I190" s="327">
        <f t="shared" si="130"/>
        <v>0</v>
      </c>
      <c r="J190" s="327">
        <f t="shared" si="131"/>
        <v>0</v>
      </c>
      <c r="K190" s="327">
        <f t="shared" si="132"/>
        <v>0</v>
      </c>
      <c r="L190" s="327">
        <f t="shared" si="133"/>
        <v>0</v>
      </c>
    </row>
    <row r="191" spans="1:12" x14ac:dyDescent="0.25">
      <c r="A191" s="364"/>
      <c r="B191" s="365"/>
      <c r="C191" s="366"/>
      <c r="D191" s="367" t="s">
        <v>324</v>
      </c>
      <c r="E191" s="368" t="s">
        <v>325</v>
      </c>
      <c r="F191" s="369"/>
      <c r="G191" s="370"/>
      <c r="H191" s="370"/>
      <c r="I191" s="370"/>
      <c r="J191" s="371">
        <f>SUM(J181:J190)</f>
        <v>0</v>
      </c>
      <c r="K191" s="371">
        <f>SUM(K181:K190)</f>
        <v>0</v>
      </c>
      <c r="L191" s="370"/>
    </row>
    <row r="192" spans="1:12" x14ac:dyDescent="0.25">
      <c r="A192" s="372"/>
      <c r="B192" s="373"/>
      <c r="C192" s="373"/>
      <c r="D192" s="372" t="s">
        <v>325</v>
      </c>
      <c r="E192" s="373" t="s">
        <v>325</v>
      </c>
      <c r="F192" s="374"/>
      <c r="G192" s="375"/>
      <c r="H192" s="375"/>
      <c r="I192" s="375"/>
      <c r="J192" s="376"/>
      <c r="K192" s="376">
        <f>SUM(J191:K191)</f>
        <v>0</v>
      </c>
      <c r="L192" s="375"/>
    </row>
    <row r="193" spans="1:12" x14ac:dyDescent="0.25">
      <c r="A193" s="206">
        <v>10</v>
      </c>
      <c r="B193" s="335"/>
      <c r="C193" s="335"/>
      <c r="D193" s="206" t="s">
        <v>121</v>
      </c>
      <c r="E193" s="206"/>
      <c r="F193" s="377"/>
      <c r="G193" s="210"/>
      <c r="H193" s="210"/>
      <c r="I193" s="210"/>
      <c r="J193" s="210"/>
      <c r="K193" s="210"/>
      <c r="L193" s="337">
        <f>L194+L209</f>
        <v>0</v>
      </c>
    </row>
    <row r="194" spans="1:12" s="341" customFormat="1" x14ac:dyDescent="0.25">
      <c r="A194" s="207" t="s">
        <v>122</v>
      </c>
      <c r="B194" s="338"/>
      <c r="C194" s="338"/>
      <c r="D194" s="207" t="s">
        <v>123</v>
      </c>
      <c r="E194" s="207"/>
      <c r="F194" s="326"/>
      <c r="G194" s="209"/>
      <c r="H194" s="209"/>
      <c r="I194" s="209"/>
      <c r="J194" s="209"/>
      <c r="K194" s="209"/>
      <c r="L194" s="340">
        <f>L195+L204</f>
        <v>0</v>
      </c>
    </row>
    <row r="195" spans="1:12" s="384" customFormat="1" x14ac:dyDescent="0.25">
      <c r="A195" s="380" t="s">
        <v>124</v>
      </c>
      <c r="B195" s="381"/>
      <c r="C195" s="381"/>
      <c r="D195" s="380" t="s">
        <v>269</v>
      </c>
      <c r="E195" s="380"/>
      <c r="F195" s="382"/>
      <c r="G195" s="211"/>
      <c r="H195" s="211"/>
      <c r="I195" s="211"/>
      <c r="J195" s="211"/>
      <c r="K195" s="211"/>
      <c r="L195" s="383">
        <f>SUM(L196:L203)</f>
        <v>0</v>
      </c>
    </row>
    <row r="196" spans="1:12" s="347" customFormat="1" ht="48.75" customHeight="1" x14ac:dyDescent="0.25">
      <c r="A196" s="342" t="s">
        <v>125</v>
      </c>
      <c r="B196" s="343"/>
      <c r="C196" s="344"/>
      <c r="D196" s="342" t="s">
        <v>126</v>
      </c>
      <c r="E196" s="345" t="s">
        <v>217</v>
      </c>
      <c r="F196" s="346">
        <v>5</v>
      </c>
      <c r="G196" s="327"/>
      <c r="H196" s="327"/>
      <c r="I196" s="327">
        <f t="shared" ref="I196:I203" si="138">TRUNC(SUM(G196:H196),2)</f>
        <v>0</v>
      </c>
      <c r="J196" s="327">
        <f t="shared" ref="J196:J203" si="139">TRUNC(F196*G196,2)</f>
        <v>0</v>
      </c>
      <c r="K196" s="327">
        <f t="shared" ref="K196:K203" si="140">TRUNC(F196*H196,2)</f>
        <v>0</v>
      </c>
      <c r="L196" s="327">
        <f t="shared" ref="L196:L203" si="141">TRUNC(SUM(J196,K196),2)</f>
        <v>0</v>
      </c>
    </row>
    <row r="197" spans="1:12" s="347" customFormat="1" ht="26.25" customHeight="1" x14ac:dyDescent="0.25">
      <c r="A197" s="342" t="s">
        <v>588</v>
      </c>
      <c r="B197" s="343"/>
      <c r="C197" s="344"/>
      <c r="D197" s="342" t="s">
        <v>127</v>
      </c>
      <c r="E197" s="345" t="s">
        <v>17</v>
      </c>
      <c r="F197" s="346">
        <f>(6*0.8*1.8)+(2*1.2*2.1)+(2*1*2.1)+(4*0.8*2.1)+(1*1.4*2.1)+(1*1.1*2.1)+(1*0.6*2.1)+(1*1.4*2.1)+(1*2*2.1)</f>
        <v>38.250000000000007</v>
      </c>
      <c r="G197" s="327"/>
      <c r="H197" s="327"/>
      <c r="I197" s="327">
        <f t="shared" si="138"/>
        <v>0</v>
      </c>
      <c r="J197" s="327">
        <f t="shared" si="139"/>
        <v>0</v>
      </c>
      <c r="K197" s="327">
        <f t="shared" si="140"/>
        <v>0</v>
      </c>
      <c r="L197" s="327">
        <f t="shared" si="141"/>
        <v>0</v>
      </c>
    </row>
    <row r="198" spans="1:12" s="347" customFormat="1" ht="39.6" x14ac:dyDescent="0.25">
      <c r="A198" s="342" t="s">
        <v>589</v>
      </c>
      <c r="B198" s="354"/>
      <c r="C198" s="344"/>
      <c r="D198" s="342" t="s">
        <v>995</v>
      </c>
      <c r="E198" s="345" t="s">
        <v>17</v>
      </c>
      <c r="F198" s="346">
        <f>(2*0.9*2.1)+(1*1.2*2.1)+(1*1.4*2.1)</f>
        <v>9.24</v>
      </c>
      <c r="G198" s="327"/>
      <c r="H198" s="327"/>
      <c r="I198" s="327">
        <f t="shared" si="138"/>
        <v>0</v>
      </c>
      <c r="J198" s="327">
        <f t="shared" si="139"/>
        <v>0</v>
      </c>
      <c r="K198" s="327">
        <f t="shared" si="140"/>
        <v>0</v>
      </c>
      <c r="L198" s="327">
        <f t="shared" si="141"/>
        <v>0</v>
      </c>
    </row>
    <row r="199" spans="1:12" s="347" customFormat="1" ht="26.4" x14ac:dyDescent="0.25">
      <c r="A199" s="342" t="s">
        <v>590</v>
      </c>
      <c r="B199" s="343"/>
      <c r="C199" s="344"/>
      <c r="D199" s="342" t="s">
        <v>430</v>
      </c>
      <c r="E199" s="345" t="s">
        <v>217</v>
      </c>
      <c r="F199" s="346">
        <v>1</v>
      </c>
      <c r="G199" s="327"/>
      <c r="H199" s="327"/>
      <c r="I199" s="327">
        <f t="shared" si="138"/>
        <v>0</v>
      </c>
      <c r="J199" s="327">
        <f t="shared" si="139"/>
        <v>0</v>
      </c>
      <c r="K199" s="327">
        <f t="shared" si="140"/>
        <v>0</v>
      </c>
      <c r="L199" s="327">
        <f t="shared" si="141"/>
        <v>0</v>
      </c>
    </row>
    <row r="200" spans="1:12" s="347" customFormat="1" ht="13.5" customHeight="1" x14ac:dyDescent="0.25">
      <c r="A200" s="342" t="s">
        <v>591</v>
      </c>
      <c r="B200" s="343"/>
      <c r="C200" s="344"/>
      <c r="D200" s="342" t="s">
        <v>128</v>
      </c>
      <c r="E200" s="345" t="s">
        <v>17</v>
      </c>
      <c r="F200" s="346">
        <f>5*0.8*2.1*3</f>
        <v>25.200000000000003</v>
      </c>
      <c r="G200" s="327"/>
      <c r="H200" s="327"/>
      <c r="I200" s="327">
        <f t="shared" si="138"/>
        <v>0</v>
      </c>
      <c r="J200" s="327">
        <f t="shared" si="139"/>
        <v>0</v>
      </c>
      <c r="K200" s="327">
        <f t="shared" si="140"/>
        <v>0</v>
      </c>
      <c r="L200" s="327">
        <f t="shared" si="141"/>
        <v>0</v>
      </c>
    </row>
    <row r="201" spans="1:12" s="347" customFormat="1" ht="26.4" x14ac:dyDescent="0.25">
      <c r="A201" s="342" t="s">
        <v>592</v>
      </c>
      <c r="B201" s="343"/>
      <c r="C201" s="344"/>
      <c r="D201" s="342" t="s">
        <v>129</v>
      </c>
      <c r="E201" s="345" t="s">
        <v>17</v>
      </c>
      <c r="F201" s="346">
        <f>F200</f>
        <v>25.200000000000003</v>
      </c>
      <c r="G201" s="327"/>
      <c r="H201" s="327"/>
      <c r="I201" s="327">
        <f t="shared" si="138"/>
        <v>0</v>
      </c>
      <c r="J201" s="327">
        <f t="shared" si="139"/>
        <v>0</v>
      </c>
      <c r="K201" s="327">
        <f t="shared" si="140"/>
        <v>0</v>
      </c>
      <c r="L201" s="327">
        <f t="shared" si="141"/>
        <v>0</v>
      </c>
    </row>
    <row r="202" spans="1:12" s="347" customFormat="1" ht="39.6" x14ac:dyDescent="0.25">
      <c r="A202" s="342" t="s">
        <v>593</v>
      </c>
      <c r="B202" s="343"/>
      <c r="C202" s="344"/>
      <c r="D202" s="342" t="s">
        <v>130</v>
      </c>
      <c r="E202" s="345" t="s">
        <v>17</v>
      </c>
      <c r="F202" s="346">
        <f>3*((6*0.8*1.8)+(2*1.2*2.1)+(2*1*2.1)+(4*0.8*2.1)+(1*1.4*2.1)+(1*1.1*2.1)+(1*0.6*2.1)+(1*1.4*1.75))+(3*F198*0.43)</f>
        <v>112.59960000000001</v>
      </c>
      <c r="G202" s="327"/>
      <c r="H202" s="327"/>
      <c r="I202" s="327">
        <f t="shared" si="138"/>
        <v>0</v>
      </c>
      <c r="J202" s="327">
        <f t="shared" si="139"/>
        <v>0</v>
      </c>
      <c r="K202" s="327">
        <f t="shared" si="140"/>
        <v>0</v>
      </c>
      <c r="L202" s="327">
        <f t="shared" si="141"/>
        <v>0</v>
      </c>
    </row>
    <row r="203" spans="1:12" s="347" customFormat="1" ht="39.6" x14ac:dyDescent="0.25">
      <c r="A203" s="342" t="s">
        <v>594</v>
      </c>
      <c r="B203" s="343"/>
      <c r="C203" s="344"/>
      <c r="D203" s="342" t="s">
        <v>131</v>
      </c>
      <c r="E203" s="345" t="s">
        <v>17</v>
      </c>
      <c r="F203" s="346">
        <f>F202</f>
        <v>112.59960000000001</v>
      </c>
      <c r="G203" s="327"/>
      <c r="H203" s="327"/>
      <c r="I203" s="327">
        <f t="shared" si="138"/>
        <v>0</v>
      </c>
      <c r="J203" s="327">
        <f t="shared" si="139"/>
        <v>0</v>
      </c>
      <c r="K203" s="327">
        <f t="shared" si="140"/>
        <v>0</v>
      </c>
      <c r="L203" s="327">
        <f t="shared" si="141"/>
        <v>0</v>
      </c>
    </row>
    <row r="204" spans="1:12" s="384" customFormat="1" x14ac:dyDescent="0.25">
      <c r="A204" s="380" t="s">
        <v>132</v>
      </c>
      <c r="B204" s="381"/>
      <c r="C204" s="381"/>
      <c r="D204" s="380" t="s">
        <v>133</v>
      </c>
      <c r="E204" s="386"/>
      <c r="F204" s="382"/>
      <c r="G204" s="211"/>
      <c r="H204" s="211"/>
      <c r="I204" s="211"/>
      <c r="J204" s="211"/>
      <c r="K204" s="211"/>
      <c r="L204" s="383">
        <f>SUM(L205:L208)</f>
        <v>0</v>
      </c>
    </row>
    <row r="205" spans="1:12" s="347" customFormat="1" ht="39.6" x14ac:dyDescent="0.25">
      <c r="A205" s="342" t="s">
        <v>134</v>
      </c>
      <c r="B205" s="354"/>
      <c r="C205" s="344"/>
      <c r="D205" s="342" t="s">
        <v>595</v>
      </c>
      <c r="E205" s="345" t="s">
        <v>217</v>
      </c>
      <c r="F205" s="346">
        <v>16</v>
      </c>
      <c r="G205" s="327"/>
      <c r="H205" s="327"/>
      <c r="I205" s="327">
        <f t="shared" ref="I205" si="142">TRUNC(SUM(G205:H205),2)</f>
        <v>0</v>
      </c>
      <c r="J205" s="327">
        <f t="shared" ref="J205:J208" si="143">TRUNC(F205*G205,2)</f>
        <v>0</v>
      </c>
      <c r="K205" s="327">
        <f t="shared" ref="K205:K208" si="144">TRUNC(F205*H205,2)</f>
        <v>0</v>
      </c>
      <c r="L205" s="327">
        <f t="shared" ref="L205:L208" si="145">TRUNC(SUM(J205,K205),2)</f>
        <v>0</v>
      </c>
    </row>
    <row r="206" spans="1:12" s="347" customFormat="1" x14ac:dyDescent="0.25">
      <c r="A206" s="342" t="s">
        <v>596</v>
      </c>
      <c r="B206" s="343"/>
      <c r="C206" s="344"/>
      <c r="D206" s="342" t="s">
        <v>135</v>
      </c>
      <c r="E206" s="345" t="s">
        <v>217</v>
      </c>
      <c r="F206" s="346">
        <v>6</v>
      </c>
      <c r="G206" s="327"/>
      <c r="H206" s="327"/>
      <c r="I206" s="327">
        <f t="shared" ref="I206:I208" si="146">TRUNC(SUM(G206:H206),2)</f>
        <v>0</v>
      </c>
      <c r="J206" s="327">
        <f t="shared" si="143"/>
        <v>0</v>
      </c>
      <c r="K206" s="327">
        <f t="shared" si="144"/>
        <v>0</v>
      </c>
      <c r="L206" s="327">
        <f t="shared" si="145"/>
        <v>0</v>
      </c>
    </row>
    <row r="207" spans="1:12" s="347" customFormat="1" ht="26.4" x14ac:dyDescent="0.25">
      <c r="A207" s="342" t="s">
        <v>597</v>
      </c>
      <c r="B207" s="385"/>
      <c r="C207" s="361"/>
      <c r="D207" s="362" t="s">
        <v>992</v>
      </c>
      <c r="E207" s="361" t="s">
        <v>217</v>
      </c>
      <c r="F207" s="378">
        <v>2</v>
      </c>
      <c r="G207" s="328"/>
      <c r="H207" s="328"/>
      <c r="I207" s="327">
        <f t="shared" ref="I207" si="147">TRUNC(SUM(G207:H207),2)</f>
        <v>0</v>
      </c>
      <c r="J207" s="327">
        <f t="shared" ref="J207" si="148">TRUNC(F207*G207,2)</f>
        <v>0</v>
      </c>
      <c r="K207" s="327">
        <f t="shared" ref="K207" si="149">TRUNC(F207*H207,2)</f>
        <v>0</v>
      </c>
      <c r="L207" s="327">
        <f t="shared" ref="L207" si="150">TRUNC(SUM(J207,K207),2)</f>
        <v>0</v>
      </c>
    </row>
    <row r="208" spans="1:12" s="347" customFormat="1" ht="26.4" x14ac:dyDescent="0.25">
      <c r="A208" s="342" t="s">
        <v>993</v>
      </c>
      <c r="B208" s="354"/>
      <c r="C208" s="344"/>
      <c r="D208" s="342" t="s">
        <v>431</v>
      </c>
      <c r="E208" s="345" t="s">
        <v>217</v>
      </c>
      <c r="F208" s="346">
        <v>9</v>
      </c>
      <c r="G208" s="327"/>
      <c r="H208" s="327"/>
      <c r="I208" s="327">
        <f t="shared" si="146"/>
        <v>0</v>
      </c>
      <c r="J208" s="327">
        <f t="shared" si="143"/>
        <v>0</v>
      </c>
      <c r="K208" s="327">
        <f t="shared" si="144"/>
        <v>0</v>
      </c>
      <c r="L208" s="327">
        <f t="shared" si="145"/>
        <v>0</v>
      </c>
    </row>
    <row r="209" spans="1:12" s="341" customFormat="1" x14ac:dyDescent="0.25">
      <c r="A209" s="207" t="s">
        <v>136</v>
      </c>
      <c r="B209" s="338"/>
      <c r="C209" s="338"/>
      <c r="D209" s="207" t="s">
        <v>137</v>
      </c>
      <c r="E209" s="387"/>
      <c r="F209" s="326"/>
      <c r="G209" s="209"/>
      <c r="H209" s="209"/>
      <c r="I209" s="209"/>
      <c r="J209" s="209"/>
      <c r="K209" s="209"/>
      <c r="L209" s="340">
        <f>SUM(L210:L215)</f>
        <v>0</v>
      </c>
    </row>
    <row r="210" spans="1:12" s="347" customFormat="1" ht="25.5" customHeight="1" x14ac:dyDescent="0.25">
      <c r="A210" s="342" t="s">
        <v>138</v>
      </c>
      <c r="B210" s="354"/>
      <c r="C210" s="344"/>
      <c r="D210" s="342" t="s">
        <v>598</v>
      </c>
      <c r="E210" s="345" t="s">
        <v>17</v>
      </c>
      <c r="F210" s="346">
        <f>ROUND((1*1.45*1.1)+(2*1.8*1)+(3*2.75*1)+(1*2.4*1)+(1*2.6*1)+(3*2.5*1)+(2*1.5*1),2)</f>
        <v>28.95</v>
      </c>
      <c r="G210" s="327"/>
      <c r="H210" s="327"/>
      <c r="I210" s="327">
        <f t="shared" ref="I210" si="151">TRUNC(SUM(G210:H210),2)</f>
        <v>0</v>
      </c>
      <c r="J210" s="327">
        <f t="shared" ref="J210:J215" si="152">TRUNC(F210*G210,2)</f>
        <v>0</v>
      </c>
      <c r="K210" s="327">
        <f t="shared" ref="K210:K215" si="153">TRUNC(F210*H210,2)</f>
        <v>0</v>
      </c>
      <c r="L210" s="327">
        <f t="shared" ref="L210:L215" si="154">TRUNC(SUM(J210,K210),2)</f>
        <v>0</v>
      </c>
    </row>
    <row r="211" spans="1:12" s="347" customFormat="1" ht="27" customHeight="1" x14ac:dyDescent="0.25">
      <c r="A211" s="342" t="s">
        <v>292</v>
      </c>
      <c r="B211" s="361"/>
      <c r="C211" s="344"/>
      <c r="D211" s="342" t="s">
        <v>600</v>
      </c>
      <c r="E211" s="345" t="s">
        <v>17</v>
      </c>
      <c r="F211" s="346">
        <f>ROUND(1*0.6*1.1+2*2*0.7,2)</f>
        <v>3.46</v>
      </c>
      <c r="G211" s="327"/>
      <c r="H211" s="327"/>
      <c r="I211" s="327">
        <f t="shared" ref="I211:I215" si="155">TRUNC(SUM(G211:H211),2)</f>
        <v>0</v>
      </c>
      <c r="J211" s="327">
        <f t="shared" si="152"/>
        <v>0</v>
      </c>
      <c r="K211" s="327">
        <f t="shared" si="153"/>
        <v>0</v>
      </c>
      <c r="L211" s="327">
        <f t="shared" si="154"/>
        <v>0</v>
      </c>
    </row>
    <row r="212" spans="1:12" s="347" customFormat="1" ht="27" customHeight="1" x14ac:dyDescent="0.25">
      <c r="A212" s="342" t="s">
        <v>293</v>
      </c>
      <c r="B212" s="361"/>
      <c r="C212" s="361"/>
      <c r="D212" s="362" t="s">
        <v>599</v>
      </c>
      <c r="E212" s="361" t="s">
        <v>17</v>
      </c>
      <c r="F212" s="378">
        <f>(1*1*1.1)</f>
        <v>1.1000000000000001</v>
      </c>
      <c r="G212" s="328"/>
      <c r="H212" s="328"/>
      <c r="I212" s="328">
        <f t="shared" si="155"/>
        <v>0</v>
      </c>
      <c r="J212" s="328">
        <f t="shared" si="152"/>
        <v>0</v>
      </c>
      <c r="K212" s="328">
        <f t="shared" si="153"/>
        <v>0</v>
      </c>
      <c r="L212" s="328">
        <f t="shared" si="154"/>
        <v>0</v>
      </c>
    </row>
    <row r="213" spans="1:12" s="347" customFormat="1" ht="27" customHeight="1" x14ac:dyDescent="0.25">
      <c r="A213" s="342" t="s">
        <v>294</v>
      </c>
      <c r="B213" s="361"/>
      <c r="C213" s="361"/>
      <c r="D213" s="362" t="s">
        <v>994</v>
      </c>
      <c r="E213" s="361" t="s">
        <v>17</v>
      </c>
      <c r="F213" s="378">
        <f>(1*3.8*1)</f>
        <v>3.8</v>
      </c>
      <c r="G213" s="328"/>
      <c r="H213" s="328"/>
      <c r="I213" s="328">
        <f t="shared" ref="I213" si="156">TRUNC(SUM(G213:H213),2)</f>
        <v>0</v>
      </c>
      <c r="J213" s="328">
        <f t="shared" ref="J213" si="157">TRUNC(F213*G213,2)</f>
        <v>0</v>
      </c>
      <c r="K213" s="328">
        <f t="shared" ref="K213" si="158">TRUNC(F213*H213,2)</f>
        <v>0</v>
      </c>
      <c r="L213" s="328">
        <f t="shared" ref="L213" si="159">TRUNC(SUM(J213,K213),2)</f>
        <v>0</v>
      </c>
    </row>
    <row r="214" spans="1:12" s="347" customFormat="1" ht="26.4" x14ac:dyDescent="0.25">
      <c r="A214" s="342" t="s">
        <v>295</v>
      </c>
      <c r="B214" s="361"/>
      <c r="C214" s="344"/>
      <c r="D214" s="342" t="s">
        <v>601</v>
      </c>
      <c r="E214" s="345" t="s">
        <v>17</v>
      </c>
      <c r="F214" s="346">
        <f>(2*1.8*1)+(3*2.75*1)+(1*2.4*1)+(1*2.6*1)+(3*2.5*1)+(1*1.5*1)</f>
        <v>25.85</v>
      </c>
      <c r="G214" s="327"/>
      <c r="H214" s="327"/>
      <c r="I214" s="327">
        <f t="shared" si="155"/>
        <v>0</v>
      </c>
      <c r="J214" s="327">
        <f t="shared" si="152"/>
        <v>0</v>
      </c>
      <c r="K214" s="327">
        <f t="shared" si="153"/>
        <v>0</v>
      </c>
      <c r="L214" s="327">
        <f t="shared" si="154"/>
        <v>0</v>
      </c>
    </row>
    <row r="215" spans="1:12" s="347" customFormat="1" ht="39.6" x14ac:dyDescent="0.25">
      <c r="A215" s="342" t="s">
        <v>296</v>
      </c>
      <c r="B215" s="361"/>
      <c r="C215" s="361"/>
      <c r="D215" s="362" t="s">
        <v>291</v>
      </c>
      <c r="E215" s="361" t="s">
        <v>17</v>
      </c>
      <c r="F215" s="378">
        <f>ROUND((1*0.6+1*1.45+2*1.8+3*2.75+1*2.4+1*2.6+1*1+1*3.8+3*2.5+2*1.5+2*2)*0.22,2)</f>
        <v>8.4</v>
      </c>
      <c r="G215" s="328"/>
      <c r="H215" s="328"/>
      <c r="I215" s="328">
        <f t="shared" si="155"/>
        <v>0</v>
      </c>
      <c r="J215" s="328">
        <f t="shared" si="152"/>
        <v>0</v>
      </c>
      <c r="K215" s="328">
        <f t="shared" si="153"/>
        <v>0</v>
      </c>
      <c r="L215" s="328">
        <f t="shared" si="154"/>
        <v>0</v>
      </c>
    </row>
    <row r="216" spans="1:12" x14ac:dyDescent="0.25">
      <c r="A216" s="364"/>
      <c r="B216" s="365"/>
      <c r="C216" s="366"/>
      <c r="D216" s="367" t="s">
        <v>324</v>
      </c>
      <c r="E216" s="368" t="s">
        <v>325</v>
      </c>
      <c r="F216" s="369"/>
      <c r="G216" s="370"/>
      <c r="H216" s="370"/>
      <c r="I216" s="370"/>
      <c r="J216" s="371">
        <f>SUM(J196:J215)</f>
        <v>0</v>
      </c>
      <c r="K216" s="371">
        <f>SUM(K196:K215)</f>
        <v>0</v>
      </c>
      <c r="L216" s="370"/>
    </row>
    <row r="217" spans="1:12" x14ac:dyDescent="0.25">
      <c r="A217" s="372"/>
      <c r="B217" s="373"/>
      <c r="C217" s="373"/>
      <c r="D217" s="372" t="s">
        <v>325</v>
      </c>
      <c r="E217" s="373" t="s">
        <v>325</v>
      </c>
      <c r="F217" s="374"/>
      <c r="G217" s="375"/>
      <c r="H217" s="375"/>
      <c r="I217" s="375"/>
      <c r="J217" s="376"/>
      <c r="K217" s="376">
        <f>SUM(J216:K216)</f>
        <v>0</v>
      </c>
      <c r="L217" s="375"/>
    </row>
    <row r="218" spans="1:12" x14ac:dyDescent="0.25">
      <c r="A218" s="206">
        <v>11</v>
      </c>
      <c r="B218" s="335"/>
      <c r="C218" s="335"/>
      <c r="D218" s="206" t="s">
        <v>139</v>
      </c>
      <c r="E218" s="206"/>
      <c r="F218" s="377"/>
      <c r="G218" s="210"/>
      <c r="H218" s="210"/>
      <c r="I218" s="210"/>
      <c r="J218" s="210"/>
      <c r="K218" s="210"/>
      <c r="L218" s="337">
        <f>L219+L243+L309</f>
        <v>0</v>
      </c>
    </row>
    <row r="219" spans="1:12" s="341" customFormat="1" x14ac:dyDescent="0.25">
      <c r="A219" s="207" t="s">
        <v>140</v>
      </c>
      <c r="B219" s="338"/>
      <c r="C219" s="338"/>
      <c r="D219" s="207" t="s">
        <v>141</v>
      </c>
      <c r="E219" s="207"/>
      <c r="F219" s="326"/>
      <c r="G219" s="209"/>
      <c r="H219" s="209"/>
      <c r="I219" s="209"/>
      <c r="J219" s="209"/>
      <c r="K219" s="209"/>
      <c r="L219" s="340">
        <f>SUM(L220:L242)</f>
        <v>0</v>
      </c>
    </row>
    <row r="220" spans="1:12" ht="26.4" x14ac:dyDescent="0.25">
      <c r="A220" s="325" t="s">
        <v>142</v>
      </c>
      <c r="B220" s="330"/>
      <c r="C220" s="331"/>
      <c r="D220" s="325" t="s">
        <v>143</v>
      </c>
      <c r="E220" s="332" t="s">
        <v>89</v>
      </c>
      <c r="F220" s="379">
        <v>120.3</v>
      </c>
      <c r="G220" s="208"/>
      <c r="H220" s="208"/>
      <c r="I220" s="208">
        <f t="shared" ref="I220:I241" si="160">TRUNC(SUM(G220:H220),2)</f>
        <v>0</v>
      </c>
      <c r="J220" s="208">
        <f t="shared" ref="J220:J242" si="161">TRUNC(F220*G220,2)</f>
        <v>0</v>
      </c>
      <c r="K220" s="208">
        <f t="shared" ref="K220:K242" si="162">TRUNC(F220*H220,2)</f>
        <v>0</v>
      </c>
      <c r="L220" s="208">
        <f t="shared" ref="L220:L242" si="163">TRUNC(SUM(J220,K220),2)</f>
        <v>0</v>
      </c>
    </row>
    <row r="221" spans="1:12" ht="26.4" x14ac:dyDescent="0.25">
      <c r="A221" s="325" t="s">
        <v>883</v>
      </c>
      <c r="B221" s="330"/>
      <c r="C221" s="331"/>
      <c r="D221" s="325" t="s">
        <v>144</v>
      </c>
      <c r="E221" s="332" t="s">
        <v>89</v>
      </c>
      <c r="F221" s="379">
        <v>10.199999999999999</v>
      </c>
      <c r="G221" s="208"/>
      <c r="H221" s="208"/>
      <c r="I221" s="208">
        <f t="shared" si="160"/>
        <v>0</v>
      </c>
      <c r="J221" s="208">
        <f t="shared" si="161"/>
        <v>0</v>
      </c>
      <c r="K221" s="208">
        <f t="shared" si="162"/>
        <v>0</v>
      </c>
      <c r="L221" s="208">
        <f t="shared" si="163"/>
        <v>0</v>
      </c>
    </row>
    <row r="222" spans="1:12" ht="26.4" x14ac:dyDescent="0.25">
      <c r="A222" s="325" t="s">
        <v>884</v>
      </c>
      <c r="B222" s="330"/>
      <c r="C222" s="331"/>
      <c r="D222" s="325" t="s">
        <v>145</v>
      </c>
      <c r="E222" s="332" t="s">
        <v>217</v>
      </c>
      <c r="F222" s="379">
        <v>25</v>
      </c>
      <c r="G222" s="208"/>
      <c r="H222" s="208"/>
      <c r="I222" s="208">
        <f t="shared" si="160"/>
        <v>0</v>
      </c>
      <c r="J222" s="208">
        <f t="shared" si="161"/>
        <v>0</v>
      </c>
      <c r="K222" s="208">
        <f t="shared" si="162"/>
        <v>0</v>
      </c>
      <c r="L222" s="208">
        <f t="shared" si="163"/>
        <v>0</v>
      </c>
    </row>
    <row r="223" spans="1:12" ht="26.4" x14ac:dyDescent="0.25">
      <c r="A223" s="325" t="s">
        <v>885</v>
      </c>
      <c r="B223" s="330"/>
      <c r="C223" s="331"/>
      <c r="D223" s="325" t="s">
        <v>146</v>
      </c>
      <c r="E223" s="332" t="s">
        <v>217</v>
      </c>
      <c r="F223" s="379">
        <v>2</v>
      </c>
      <c r="G223" s="208"/>
      <c r="H223" s="208"/>
      <c r="I223" s="208">
        <f t="shared" si="160"/>
        <v>0</v>
      </c>
      <c r="J223" s="208">
        <f t="shared" si="161"/>
        <v>0</v>
      </c>
      <c r="K223" s="208">
        <f t="shared" si="162"/>
        <v>0</v>
      </c>
      <c r="L223" s="208">
        <f t="shared" si="163"/>
        <v>0</v>
      </c>
    </row>
    <row r="224" spans="1:12" ht="26.4" x14ac:dyDescent="0.25">
      <c r="A224" s="325" t="s">
        <v>886</v>
      </c>
      <c r="B224" s="330"/>
      <c r="C224" s="331"/>
      <c r="D224" s="325" t="s">
        <v>147</v>
      </c>
      <c r="E224" s="332" t="s">
        <v>217</v>
      </c>
      <c r="F224" s="379">
        <v>4</v>
      </c>
      <c r="G224" s="208"/>
      <c r="H224" s="208"/>
      <c r="I224" s="208">
        <f t="shared" si="160"/>
        <v>0</v>
      </c>
      <c r="J224" s="208">
        <f t="shared" si="161"/>
        <v>0</v>
      </c>
      <c r="K224" s="208">
        <f t="shared" si="162"/>
        <v>0</v>
      </c>
      <c r="L224" s="208">
        <f t="shared" si="163"/>
        <v>0</v>
      </c>
    </row>
    <row r="225" spans="1:12" ht="26.4" x14ac:dyDescent="0.25">
      <c r="A225" s="325" t="s">
        <v>887</v>
      </c>
      <c r="B225" s="330"/>
      <c r="C225" s="331"/>
      <c r="D225" s="325" t="s">
        <v>879</v>
      </c>
      <c r="E225" s="332" t="s">
        <v>217</v>
      </c>
      <c r="F225" s="379">
        <v>36</v>
      </c>
      <c r="G225" s="208"/>
      <c r="H225" s="208"/>
      <c r="I225" s="208">
        <f t="shared" si="160"/>
        <v>0</v>
      </c>
      <c r="J225" s="208">
        <f t="shared" si="161"/>
        <v>0</v>
      </c>
      <c r="K225" s="208">
        <f t="shared" si="162"/>
        <v>0</v>
      </c>
      <c r="L225" s="208">
        <f t="shared" si="163"/>
        <v>0</v>
      </c>
    </row>
    <row r="226" spans="1:12" ht="26.4" x14ac:dyDescent="0.25">
      <c r="A226" s="325" t="s">
        <v>888</v>
      </c>
      <c r="B226" s="330"/>
      <c r="C226" s="331"/>
      <c r="D226" s="325" t="s">
        <v>149</v>
      </c>
      <c r="E226" s="332" t="s">
        <v>217</v>
      </c>
      <c r="F226" s="379">
        <v>2</v>
      </c>
      <c r="G226" s="208"/>
      <c r="H226" s="208"/>
      <c r="I226" s="208">
        <f t="shared" si="160"/>
        <v>0</v>
      </c>
      <c r="J226" s="208">
        <f t="shared" si="161"/>
        <v>0</v>
      </c>
      <c r="K226" s="208">
        <f t="shared" si="162"/>
        <v>0</v>
      </c>
      <c r="L226" s="208">
        <f t="shared" si="163"/>
        <v>0</v>
      </c>
    </row>
    <row r="227" spans="1:12" ht="26.4" x14ac:dyDescent="0.25">
      <c r="A227" s="325" t="s">
        <v>889</v>
      </c>
      <c r="B227" s="388"/>
      <c r="C227" s="350"/>
      <c r="D227" s="351" t="s">
        <v>1129</v>
      </c>
      <c r="E227" s="332" t="s">
        <v>217</v>
      </c>
      <c r="F227" s="324">
        <v>1</v>
      </c>
      <c r="G227" s="212"/>
      <c r="H227" s="212"/>
      <c r="I227" s="208">
        <f t="shared" si="160"/>
        <v>0</v>
      </c>
      <c r="J227" s="212">
        <f t="shared" si="161"/>
        <v>0</v>
      </c>
      <c r="K227" s="212">
        <f t="shared" si="162"/>
        <v>0</v>
      </c>
      <c r="L227" s="212">
        <f t="shared" si="163"/>
        <v>0</v>
      </c>
    </row>
    <row r="228" spans="1:12" ht="26.4" x14ac:dyDescent="0.25">
      <c r="A228" s="325" t="s">
        <v>890</v>
      </c>
      <c r="B228" s="388"/>
      <c r="C228" s="350"/>
      <c r="D228" s="351" t="s">
        <v>882</v>
      </c>
      <c r="E228" s="332" t="s">
        <v>217</v>
      </c>
      <c r="F228" s="324">
        <v>5</v>
      </c>
      <c r="G228" s="212"/>
      <c r="H228" s="212"/>
      <c r="I228" s="208">
        <f t="shared" si="160"/>
        <v>0</v>
      </c>
      <c r="J228" s="212">
        <f t="shared" si="161"/>
        <v>0</v>
      </c>
      <c r="K228" s="212">
        <f t="shared" si="162"/>
        <v>0</v>
      </c>
      <c r="L228" s="212">
        <f t="shared" si="163"/>
        <v>0</v>
      </c>
    </row>
    <row r="229" spans="1:12" ht="28.5" customHeight="1" x14ac:dyDescent="0.25">
      <c r="A229" s="325" t="s">
        <v>891</v>
      </c>
      <c r="B229" s="388"/>
      <c r="C229" s="350"/>
      <c r="D229" s="351" t="s">
        <v>148</v>
      </c>
      <c r="E229" s="332" t="s">
        <v>217</v>
      </c>
      <c r="F229" s="324">
        <v>1</v>
      </c>
      <c r="G229" s="212"/>
      <c r="H229" s="212"/>
      <c r="I229" s="208">
        <f t="shared" si="160"/>
        <v>0</v>
      </c>
      <c r="J229" s="212">
        <f t="shared" si="161"/>
        <v>0</v>
      </c>
      <c r="K229" s="212">
        <f t="shared" si="162"/>
        <v>0</v>
      </c>
      <c r="L229" s="212">
        <f t="shared" si="163"/>
        <v>0</v>
      </c>
    </row>
    <row r="230" spans="1:12" ht="39.6" x14ac:dyDescent="0.25">
      <c r="A230" s="325" t="s">
        <v>892</v>
      </c>
      <c r="B230" s="388"/>
      <c r="C230" s="350"/>
      <c r="D230" s="351" t="s">
        <v>1130</v>
      </c>
      <c r="E230" s="332" t="s">
        <v>217</v>
      </c>
      <c r="F230" s="324">
        <v>31</v>
      </c>
      <c r="G230" s="212"/>
      <c r="H230" s="212"/>
      <c r="I230" s="208">
        <f t="shared" si="160"/>
        <v>0</v>
      </c>
      <c r="J230" s="212">
        <f t="shared" si="161"/>
        <v>0</v>
      </c>
      <c r="K230" s="212">
        <f t="shared" si="162"/>
        <v>0</v>
      </c>
      <c r="L230" s="212">
        <f t="shared" si="163"/>
        <v>0</v>
      </c>
    </row>
    <row r="231" spans="1:12" ht="27.75" customHeight="1" x14ac:dyDescent="0.25">
      <c r="A231" s="325" t="s">
        <v>893</v>
      </c>
      <c r="B231" s="330"/>
      <c r="C231" s="331"/>
      <c r="D231" s="325" t="s">
        <v>896</v>
      </c>
      <c r="E231" s="332" t="s">
        <v>217</v>
      </c>
      <c r="F231" s="379">
        <v>4</v>
      </c>
      <c r="G231" s="208"/>
      <c r="H231" s="208"/>
      <c r="I231" s="208">
        <f t="shared" si="160"/>
        <v>0</v>
      </c>
      <c r="J231" s="208">
        <f t="shared" si="161"/>
        <v>0</v>
      </c>
      <c r="K231" s="208">
        <f t="shared" si="162"/>
        <v>0</v>
      </c>
      <c r="L231" s="208">
        <f t="shared" si="163"/>
        <v>0</v>
      </c>
    </row>
    <row r="232" spans="1:12" ht="39.6" x14ac:dyDescent="0.25">
      <c r="A232" s="325" t="s">
        <v>894</v>
      </c>
      <c r="B232" s="330"/>
      <c r="C232" s="331"/>
      <c r="D232" s="325" t="s">
        <v>1131</v>
      </c>
      <c r="E232" s="332" t="s">
        <v>217</v>
      </c>
      <c r="F232" s="379">
        <v>1</v>
      </c>
      <c r="G232" s="208"/>
      <c r="H232" s="208"/>
      <c r="I232" s="208">
        <f t="shared" si="160"/>
        <v>0</v>
      </c>
      <c r="J232" s="208">
        <f t="shared" si="161"/>
        <v>0</v>
      </c>
      <c r="K232" s="208">
        <f t="shared" si="162"/>
        <v>0</v>
      </c>
      <c r="L232" s="208">
        <f t="shared" si="163"/>
        <v>0</v>
      </c>
    </row>
    <row r="233" spans="1:12" ht="39.6" x14ac:dyDescent="0.25">
      <c r="A233" s="325" t="s">
        <v>895</v>
      </c>
      <c r="B233" s="330"/>
      <c r="C233" s="331"/>
      <c r="D233" s="325" t="s">
        <v>897</v>
      </c>
      <c r="E233" s="332" t="s">
        <v>217</v>
      </c>
      <c r="F233" s="379">
        <v>5</v>
      </c>
      <c r="G233" s="208"/>
      <c r="H233" s="208"/>
      <c r="I233" s="208">
        <f t="shared" si="160"/>
        <v>0</v>
      </c>
      <c r="J233" s="208">
        <f t="shared" si="161"/>
        <v>0</v>
      </c>
      <c r="K233" s="208">
        <f t="shared" si="162"/>
        <v>0</v>
      </c>
      <c r="L233" s="208">
        <f t="shared" si="163"/>
        <v>0</v>
      </c>
    </row>
    <row r="234" spans="1:12" ht="39.6" x14ac:dyDescent="0.25">
      <c r="A234" s="325" t="s">
        <v>899</v>
      </c>
      <c r="B234" s="388"/>
      <c r="C234" s="350"/>
      <c r="D234" s="351" t="s">
        <v>898</v>
      </c>
      <c r="E234" s="332" t="s">
        <v>217</v>
      </c>
      <c r="F234" s="324">
        <v>1</v>
      </c>
      <c r="G234" s="212"/>
      <c r="H234" s="212"/>
      <c r="I234" s="208">
        <f t="shared" si="160"/>
        <v>0</v>
      </c>
      <c r="J234" s="212">
        <f t="shared" si="161"/>
        <v>0</v>
      </c>
      <c r="K234" s="212">
        <f t="shared" si="162"/>
        <v>0</v>
      </c>
      <c r="L234" s="212">
        <f t="shared" si="163"/>
        <v>0</v>
      </c>
    </row>
    <row r="235" spans="1:12" ht="39.6" x14ac:dyDescent="0.25">
      <c r="A235" s="325" t="s">
        <v>900</v>
      </c>
      <c r="B235" s="388"/>
      <c r="C235" s="350"/>
      <c r="D235" s="351" t="s">
        <v>1132</v>
      </c>
      <c r="E235" s="332" t="s">
        <v>217</v>
      </c>
      <c r="F235" s="324">
        <v>35</v>
      </c>
      <c r="G235" s="212"/>
      <c r="H235" s="212"/>
      <c r="I235" s="208">
        <f t="shared" si="160"/>
        <v>0</v>
      </c>
      <c r="J235" s="212">
        <f t="shared" si="161"/>
        <v>0</v>
      </c>
      <c r="K235" s="212">
        <f t="shared" si="162"/>
        <v>0</v>
      </c>
      <c r="L235" s="212">
        <f t="shared" si="163"/>
        <v>0</v>
      </c>
    </row>
    <row r="236" spans="1:12" ht="39.6" x14ac:dyDescent="0.25">
      <c r="A236" s="325" t="s">
        <v>901</v>
      </c>
      <c r="B236" s="388"/>
      <c r="C236" s="350"/>
      <c r="D236" s="351" t="s">
        <v>1133</v>
      </c>
      <c r="E236" s="332" t="s">
        <v>217</v>
      </c>
      <c r="F236" s="324">
        <v>4</v>
      </c>
      <c r="G236" s="212"/>
      <c r="H236" s="212"/>
      <c r="I236" s="208">
        <f t="shared" si="160"/>
        <v>0</v>
      </c>
      <c r="J236" s="212">
        <f t="shared" si="161"/>
        <v>0</v>
      </c>
      <c r="K236" s="212">
        <f t="shared" si="162"/>
        <v>0</v>
      </c>
      <c r="L236" s="212">
        <f t="shared" si="163"/>
        <v>0</v>
      </c>
    </row>
    <row r="237" spans="1:12" ht="39.6" x14ac:dyDescent="0.25">
      <c r="A237" s="325" t="s">
        <v>902</v>
      </c>
      <c r="B237" s="388"/>
      <c r="C237" s="350"/>
      <c r="D237" s="351" t="s">
        <v>150</v>
      </c>
      <c r="E237" s="332" t="s">
        <v>217</v>
      </c>
      <c r="F237" s="324">
        <v>2</v>
      </c>
      <c r="G237" s="212"/>
      <c r="H237" s="212"/>
      <c r="I237" s="208">
        <f t="shared" si="160"/>
        <v>0</v>
      </c>
      <c r="J237" s="212">
        <f t="shared" si="161"/>
        <v>0</v>
      </c>
      <c r="K237" s="212">
        <f t="shared" si="162"/>
        <v>0</v>
      </c>
      <c r="L237" s="212">
        <f t="shared" si="163"/>
        <v>0</v>
      </c>
    </row>
    <row r="238" spans="1:12" ht="39.6" x14ac:dyDescent="0.25">
      <c r="A238" s="325" t="s">
        <v>903</v>
      </c>
      <c r="B238" s="388"/>
      <c r="C238" s="350"/>
      <c r="D238" s="351" t="s">
        <v>297</v>
      </c>
      <c r="E238" s="332" t="s">
        <v>217</v>
      </c>
      <c r="F238" s="324">
        <v>17</v>
      </c>
      <c r="G238" s="212"/>
      <c r="H238" s="212"/>
      <c r="I238" s="208">
        <f t="shared" si="160"/>
        <v>0</v>
      </c>
      <c r="J238" s="212">
        <f t="shared" si="161"/>
        <v>0</v>
      </c>
      <c r="K238" s="212">
        <f t="shared" si="162"/>
        <v>0</v>
      </c>
      <c r="L238" s="212">
        <f t="shared" si="163"/>
        <v>0</v>
      </c>
    </row>
    <row r="239" spans="1:12" ht="26.4" x14ac:dyDescent="0.25">
      <c r="A239" s="325" t="s">
        <v>904</v>
      </c>
      <c r="B239" s="330"/>
      <c r="C239" s="331"/>
      <c r="D239" s="325" t="s">
        <v>1134</v>
      </c>
      <c r="E239" s="332" t="s">
        <v>217</v>
      </c>
      <c r="F239" s="379">
        <v>3</v>
      </c>
      <c r="G239" s="208"/>
      <c r="H239" s="208"/>
      <c r="I239" s="208">
        <f t="shared" si="160"/>
        <v>0</v>
      </c>
      <c r="J239" s="208">
        <f t="shared" si="161"/>
        <v>0</v>
      </c>
      <c r="K239" s="208">
        <f t="shared" si="162"/>
        <v>0</v>
      </c>
      <c r="L239" s="208">
        <f t="shared" si="163"/>
        <v>0</v>
      </c>
    </row>
    <row r="240" spans="1:12" ht="24.75" customHeight="1" x14ac:dyDescent="0.25">
      <c r="A240" s="325" t="s">
        <v>905</v>
      </c>
      <c r="B240" s="330"/>
      <c r="C240" s="331"/>
      <c r="D240" s="325" t="s">
        <v>432</v>
      </c>
      <c r="E240" s="332" t="s">
        <v>89</v>
      </c>
      <c r="F240" s="379">
        <v>62.82</v>
      </c>
      <c r="G240" s="208"/>
      <c r="H240" s="208"/>
      <c r="I240" s="208">
        <f t="shared" si="160"/>
        <v>0</v>
      </c>
      <c r="J240" s="208">
        <f t="shared" si="161"/>
        <v>0</v>
      </c>
      <c r="K240" s="208">
        <f t="shared" si="162"/>
        <v>0</v>
      </c>
      <c r="L240" s="208">
        <f t="shared" si="163"/>
        <v>0</v>
      </c>
    </row>
    <row r="241" spans="1:12" ht="26.25" customHeight="1" x14ac:dyDescent="0.25">
      <c r="A241" s="325" t="s">
        <v>434</v>
      </c>
      <c r="B241" s="330"/>
      <c r="C241" s="331"/>
      <c r="D241" s="325" t="s">
        <v>433</v>
      </c>
      <c r="E241" s="332" t="s">
        <v>89</v>
      </c>
      <c r="F241" s="379">
        <v>62.82</v>
      </c>
      <c r="G241" s="208"/>
      <c r="H241" s="208"/>
      <c r="I241" s="208">
        <f t="shared" si="160"/>
        <v>0</v>
      </c>
      <c r="J241" s="208">
        <f t="shared" si="161"/>
        <v>0</v>
      </c>
      <c r="K241" s="208">
        <f t="shared" si="162"/>
        <v>0</v>
      </c>
      <c r="L241" s="208">
        <f t="shared" si="163"/>
        <v>0</v>
      </c>
    </row>
    <row r="242" spans="1:12" ht="66" x14ac:dyDescent="0.25">
      <c r="A242" s="325" t="s">
        <v>435</v>
      </c>
      <c r="B242" s="385"/>
      <c r="C242" s="361"/>
      <c r="D242" s="362" t="s">
        <v>960</v>
      </c>
      <c r="E242" s="361" t="s">
        <v>89</v>
      </c>
      <c r="F242" s="378">
        <v>27.5</v>
      </c>
      <c r="G242" s="212"/>
      <c r="H242" s="212"/>
      <c r="I242" s="208">
        <f t="shared" ref="I242" si="164">TRUNC(SUM(G242:H242),2)</f>
        <v>0</v>
      </c>
      <c r="J242" s="208">
        <f t="shared" si="161"/>
        <v>0</v>
      </c>
      <c r="K242" s="208">
        <f t="shared" si="162"/>
        <v>0</v>
      </c>
      <c r="L242" s="208">
        <f t="shared" si="163"/>
        <v>0</v>
      </c>
    </row>
    <row r="243" spans="1:12" s="341" customFormat="1" x14ac:dyDescent="0.25">
      <c r="A243" s="207" t="s">
        <v>151</v>
      </c>
      <c r="B243" s="338"/>
      <c r="C243" s="338"/>
      <c r="D243" s="207" t="s">
        <v>298</v>
      </c>
      <c r="E243" s="207"/>
      <c r="F243" s="326"/>
      <c r="G243" s="209"/>
      <c r="H243" s="209"/>
      <c r="I243" s="209"/>
      <c r="J243" s="209"/>
      <c r="K243" s="209"/>
      <c r="L243" s="340">
        <f>SUM(L244:L308)</f>
        <v>0</v>
      </c>
    </row>
    <row r="244" spans="1:12" ht="39.6" x14ac:dyDescent="0.25">
      <c r="A244" s="325" t="s">
        <v>909</v>
      </c>
      <c r="B244" s="330"/>
      <c r="C244" s="331"/>
      <c r="D244" s="325" t="s">
        <v>163</v>
      </c>
      <c r="E244" s="332" t="s">
        <v>89</v>
      </c>
      <c r="F244" s="379">
        <v>15</v>
      </c>
      <c r="G244" s="208"/>
      <c r="H244" s="208"/>
      <c r="I244" s="208">
        <f>TRUNC(SUM(G244:H244),2)</f>
        <v>0</v>
      </c>
      <c r="J244" s="208">
        <f>TRUNC(F244*G244,2)</f>
        <v>0</v>
      </c>
      <c r="K244" s="208">
        <f>TRUNC(F244*H244,2)</f>
        <v>0</v>
      </c>
      <c r="L244" s="208">
        <f>TRUNC(SUM(J244,K244),2)</f>
        <v>0</v>
      </c>
    </row>
    <row r="245" spans="1:12" ht="39.6" x14ac:dyDescent="0.25">
      <c r="A245" s="325" t="s">
        <v>910</v>
      </c>
      <c r="B245" s="330"/>
      <c r="C245" s="331"/>
      <c r="D245" s="325" t="s">
        <v>164</v>
      </c>
      <c r="E245" s="332" t="s">
        <v>89</v>
      </c>
      <c r="F245" s="379">
        <v>170.3</v>
      </c>
      <c r="G245" s="208"/>
      <c r="H245" s="208"/>
      <c r="I245" s="208">
        <f>TRUNC(SUM(G245:H245),2)</f>
        <v>0</v>
      </c>
      <c r="J245" s="208">
        <f>TRUNC(F245*G245,2)</f>
        <v>0</v>
      </c>
      <c r="K245" s="208">
        <f>TRUNC(F245*H245,2)</f>
        <v>0</v>
      </c>
      <c r="L245" s="208">
        <f>TRUNC(SUM(J245,K245),2)</f>
        <v>0</v>
      </c>
    </row>
    <row r="246" spans="1:12" ht="39.6" x14ac:dyDescent="0.25">
      <c r="A246" s="325" t="s">
        <v>911</v>
      </c>
      <c r="B246" s="330"/>
      <c r="C246" s="331"/>
      <c r="D246" s="325" t="s">
        <v>165</v>
      </c>
      <c r="E246" s="332" t="s">
        <v>89</v>
      </c>
      <c r="F246" s="379">
        <v>69.099999999999994</v>
      </c>
      <c r="G246" s="208"/>
      <c r="H246" s="208"/>
      <c r="I246" s="208">
        <f>TRUNC(SUM(G246:H246),2)</f>
        <v>0</v>
      </c>
      <c r="J246" s="208">
        <f>TRUNC(F246*G246,2)</f>
        <v>0</v>
      </c>
      <c r="K246" s="208">
        <f>TRUNC(F246*H246,2)</f>
        <v>0</v>
      </c>
      <c r="L246" s="208">
        <f>TRUNC(SUM(J246,K246),2)</f>
        <v>0</v>
      </c>
    </row>
    <row r="247" spans="1:12" ht="39.6" x14ac:dyDescent="0.25">
      <c r="A247" s="325" t="s">
        <v>912</v>
      </c>
      <c r="B247" s="330"/>
      <c r="C247" s="331"/>
      <c r="D247" s="325" t="s">
        <v>166</v>
      </c>
      <c r="E247" s="332" t="s">
        <v>89</v>
      </c>
      <c r="F247" s="379">
        <v>179.7</v>
      </c>
      <c r="G247" s="208"/>
      <c r="H247" s="208"/>
      <c r="I247" s="208">
        <f>TRUNC(SUM(G247:H247),2)</f>
        <v>0</v>
      </c>
      <c r="J247" s="208">
        <f>TRUNC(F247*G247,2)</f>
        <v>0</v>
      </c>
      <c r="K247" s="208">
        <f>TRUNC(F247*H247,2)</f>
        <v>0</v>
      </c>
      <c r="L247" s="208">
        <f>TRUNC(SUM(J247,K247),2)</f>
        <v>0</v>
      </c>
    </row>
    <row r="248" spans="1:12" ht="39.6" x14ac:dyDescent="0.25">
      <c r="A248" s="325" t="s">
        <v>913</v>
      </c>
      <c r="B248" s="330"/>
      <c r="C248" s="331"/>
      <c r="D248" s="325" t="s">
        <v>152</v>
      </c>
      <c r="E248" s="332" t="s">
        <v>217</v>
      </c>
      <c r="F248" s="379">
        <v>14</v>
      </c>
      <c r="G248" s="208"/>
      <c r="H248" s="208"/>
      <c r="I248" s="208">
        <f t="shared" ref="I248:I296" si="165">TRUNC(SUM(G248:H248),2)</f>
        <v>0</v>
      </c>
      <c r="J248" s="208">
        <f t="shared" ref="J248:J308" si="166">TRUNC(F248*G248,2)</f>
        <v>0</v>
      </c>
      <c r="K248" s="208">
        <f t="shared" ref="K248:K308" si="167">TRUNC(F248*H248,2)</f>
        <v>0</v>
      </c>
      <c r="L248" s="208">
        <f t="shared" ref="L248:L308" si="168">TRUNC(SUM(J248,K248),2)</f>
        <v>0</v>
      </c>
    </row>
    <row r="249" spans="1:12" ht="39.6" x14ac:dyDescent="0.25">
      <c r="A249" s="325" t="s">
        <v>914</v>
      </c>
      <c r="B249" s="330"/>
      <c r="C249" s="331"/>
      <c r="D249" s="325" t="s">
        <v>907</v>
      </c>
      <c r="E249" s="332" t="s">
        <v>217</v>
      </c>
      <c r="F249" s="379">
        <v>6</v>
      </c>
      <c r="G249" s="208"/>
      <c r="H249" s="208"/>
      <c r="I249" s="208">
        <f t="shared" si="165"/>
        <v>0</v>
      </c>
      <c r="J249" s="208">
        <f t="shared" si="166"/>
        <v>0</v>
      </c>
      <c r="K249" s="208">
        <f t="shared" si="167"/>
        <v>0</v>
      </c>
      <c r="L249" s="208">
        <f t="shared" si="168"/>
        <v>0</v>
      </c>
    </row>
    <row r="250" spans="1:12" ht="39.6" x14ac:dyDescent="0.25">
      <c r="A250" s="325" t="s">
        <v>915</v>
      </c>
      <c r="B250" s="334"/>
      <c r="C250" s="331"/>
      <c r="D250" s="325" t="s">
        <v>908</v>
      </c>
      <c r="E250" s="332" t="s">
        <v>217</v>
      </c>
      <c r="F250" s="379">
        <v>1</v>
      </c>
      <c r="G250" s="208"/>
      <c r="H250" s="208"/>
      <c r="I250" s="208">
        <f t="shared" si="165"/>
        <v>0</v>
      </c>
      <c r="J250" s="208">
        <f t="shared" si="166"/>
        <v>0</v>
      </c>
      <c r="K250" s="208">
        <f t="shared" si="167"/>
        <v>0</v>
      </c>
      <c r="L250" s="208">
        <f t="shared" si="168"/>
        <v>0</v>
      </c>
    </row>
    <row r="251" spans="1:12" ht="39.6" x14ac:dyDescent="0.25">
      <c r="A251" s="325" t="s">
        <v>916</v>
      </c>
      <c r="B251" s="330"/>
      <c r="C251" s="331"/>
      <c r="D251" s="325" t="s">
        <v>153</v>
      </c>
      <c r="E251" s="332" t="s">
        <v>217</v>
      </c>
      <c r="F251" s="379">
        <v>2</v>
      </c>
      <c r="G251" s="208"/>
      <c r="H251" s="208"/>
      <c r="I251" s="208">
        <f t="shared" si="165"/>
        <v>0</v>
      </c>
      <c r="J251" s="208">
        <f t="shared" si="166"/>
        <v>0</v>
      </c>
      <c r="K251" s="208">
        <f t="shared" si="167"/>
        <v>0</v>
      </c>
      <c r="L251" s="208">
        <f t="shared" si="168"/>
        <v>0</v>
      </c>
    </row>
    <row r="252" spans="1:12" ht="39.6" x14ac:dyDescent="0.25">
      <c r="A252" s="325" t="s">
        <v>917</v>
      </c>
      <c r="B252" s="330"/>
      <c r="C252" s="331"/>
      <c r="D252" s="325" t="s">
        <v>154</v>
      </c>
      <c r="E252" s="332" t="s">
        <v>217</v>
      </c>
      <c r="F252" s="379">
        <v>43</v>
      </c>
      <c r="G252" s="208"/>
      <c r="H252" s="208"/>
      <c r="I252" s="208">
        <f t="shared" si="165"/>
        <v>0</v>
      </c>
      <c r="J252" s="208">
        <f t="shared" si="166"/>
        <v>0</v>
      </c>
      <c r="K252" s="208">
        <f t="shared" si="167"/>
        <v>0</v>
      </c>
      <c r="L252" s="208">
        <f t="shared" si="168"/>
        <v>0</v>
      </c>
    </row>
    <row r="253" spans="1:12" ht="39.6" x14ac:dyDescent="0.25">
      <c r="A253" s="325" t="s">
        <v>918</v>
      </c>
      <c r="B253" s="330"/>
      <c r="C253" s="331"/>
      <c r="D253" s="325" t="s">
        <v>155</v>
      </c>
      <c r="E253" s="332" t="s">
        <v>217</v>
      </c>
      <c r="F253" s="379">
        <v>16</v>
      </c>
      <c r="G253" s="208"/>
      <c r="H253" s="208"/>
      <c r="I253" s="208">
        <f t="shared" si="165"/>
        <v>0</v>
      </c>
      <c r="J253" s="208">
        <f t="shared" si="166"/>
        <v>0</v>
      </c>
      <c r="K253" s="208">
        <f t="shared" si="167"/>
        <v>0</v>
      </c>
      <c r="L253" s="208">
        <f t="shared" si="168"/>
        <v>0</v>
      </c>
    </row>
    <row r="254" spans="1:12" ht="39.6" x14ac:dyDescent="0.25">
      <c r="A254" s="325" t="s">
        <v>919</v>
      </c>
      <c r="B254" s="330"/>
      <c r="C254" s="331"/>
      <c r="D254" s="325" t="s">
        <v>156</v>
      </c>
      <c r="E254" s="332" t="s">
        <v>217</v>
      </c>
      <c r="F254" s="379">
        <v>24</v>
      </c>
      <c r="G254" s="208"/>
      <c r="H254" s="208"/>
      <c r="I254" s="208">
        <f t="shared" si="165"/>
        <v>0</v>
      </c>
      <c r="J254" s="208">
        <f t="shared" si="166"/>
        <v>0</v>
      </c>
      <c r="K254" s="208">
        <f t="shared" si="167"/>
        <v>0</v>
      </c>
      <c r="L254" s="208">
        <f t="shared" si="168"/>
        <v>0</v>
      </c>
    </row>
    <row r="255" spans="1:12" ht="39.6" x14ac:dyDescent="0.25">
      <c r="A255" s="325" t="s">
        <v>920</v>
      </c>
      <c r="B255" s="330"/>
      <c r="C255" s="331"/>
      <c r="D255" s="325" t="s">
        <v>157</v>
      </c>
      <c r="E255" s="332" t="s">
        <v>217</v>
      </c>
      <c r="F255" s="379">
        <v>77</v>
      </c>
      <c r="G255" s="208"/>
      <c r="H255" s="208"/>
      <c r="I255" s="208">
        <f t="shared" si="165"/>
        <v>0</v>
      </c>
      <c r="J255" s="208">
        <f t="shared" si="166"/>
        <v>0</v>
      </c>
      <c r="K255" s="208">
        <f t="shared" si="167"/>
        <v>0</v>
      </c>
      <c r="L255" s="208">
        <f t="shared" si="168"/>
        <v>0</v>
      </c>
    </row>
    <row r="256" spans="1:12" ht="39.6" x14ac:dyDescent="0.25">
      <c r="A256" s="325" t="s">
        <v>921</v>
      </c>
      <c r="B256" s="330"/>
      <c r="C256" s="331"/>
      <c r="D256" s="325" t="s">
        <v>299</v>
      </c>
      <c r="E256" s="332" t="s">
        <v>217</v>
      </c>
      <c r="F256" s="379">
        <v>11</v>
      </c>
      <c r="G256" s="208"/>
      <c r="H256" s="208"/>
      <c r="I256" s="208">
        <f t="shared" si="165"/>
        <v>0</v>
      </c>
      <c r="J256" s="208">
        <f t="shared" si="166"/>
        <v>0</v>
      </c>
      <c r="K256" s="208">
        <f t="shared" si="167"/>
        <v>0</v>
      </c>
      <c r="L256" s="208">
        <f t="shared" si="168"/>
        <v>0</v>
      </c>
    </row>
    <row r="257" spans="1:12" ht="39.6" x14ac:dyDescent="0.25">
      <c r="A257" s="325" t="s">
        <v>922</v>
      </c>
      <c r="B257" s="388"/>
      <c r="C257" s="350"/>
      <c r="D257" s="325" t="s">
        <v>906</v>
      </c>
      <c r="E257" s="332" t="s">
        <v>217</v>
      </c>
      <c r="F257" s="324">
        <v>28</v>
      </c>
      <c r="G257" s="212"/>
      <c r="H257" s="212"/>
      <c r="I257" s="208">
        <f t="shared" si="165"/>
        <v>0</v>
      </c>
      <c r="J257" s="212">
        <f t="shared" si="166"/>
        <v>0</v>
      </c>
      <c r="K257" s="212">
        <f t="shared" si="167"/>
        <v>0</v>
      </c>
      <c r="L257" s="212">
        <f t="shared" si="168"/>
        <v>0</v>
      </c>
    </row>
    <row r="258" spans="1:12" ht="40.5" customHeight="1" x14ac:dyDescent="0.25">
      <c r="A258" s="325" t="s">
        <v>923</v>
      </c>
      <c r="B258" s="334"/>
      <c r="C258" s="331"/>
      <c r="D258" s="325" t="s">
        <v>158</v>
      </c>
      <c r="E258" s="332" t="s">
        <v>217</v>
      </c>
      <c r="F258" s="379">
        <v>14</v>
      </c>
      <c r="G258" s="208"/>
      <c r="H258" s="208"/>
      <c r="I258" s="208">
        <f t="shared" si="165"/>
        <v>0</v>
      </c>
      <c r="J258" s="208">
        <f t="shared" si="166"/>
        <v>0</v>
      </c>
      <c r="K258" s="208">
        <f t="shared" si="167"/>
        <v>0</v>
      </c>
      <c r="L258" s="208">
        <f t="shared" si="168"/>
        <v>0</v>
      </c>
    </row>
    <row r="259" spans="1:12" ht="39.6" x14ac:dyDescent="0.25">
      <c r="A259" s="325" t="s">
        <v>924</v>
      </c>
      <c r="B259" s="330"/>
      <c r="C259" s="331"/>
      <c r="D259" s="325" t="s">
        <v>162</v>
      </c>
      <c r="E259" s="332" t="s">
        <v>217</v>
      </c>
      <c r="F259" s="379">
        <v>38</v>
      </c>
      <c r="G259" s="208"/>
      <c r="H259" s="208"/>
      <c r="I259" s="208">
        <f>TRUNC(SUM(G259:H259),2)</f>
        <v>0</v>
      </c>
      <c r="J259" s="208">
        <f>TRUNC(F259*G259,2)</f>
        <v>0</v>
      </c>
      <c r="K259" s="208">
        <f>TRUNC(F259*H259,2)</f>
        <v>0</v>
      </c>
      <c r="L259" s="208">
        <f>TRUNC(SUM(J259,K259),2)</f>
        <v>0</v>
      </c>
    </row>
    <row r="260" spans="1:12" ht="37.5" customHeight="1" x14ac:dyDescent="0.25">
      <c r="A260" s="325" t="s">
        <v>925</v>
      </c>
      <c r="B260" s="388"/>
      <c r="C260" s="331"/>
      <c r="D260" s="351" t="s">
        <v>1080</v>
      </c>
      <c r="E260" s="332" t="s">
        <v>217</v>
      </c>
      <c r="F260" s="324">
        <v>12</v>
      </c>
      <c r="G260" s="212"/>
      <c r="H260" s="212"/>
      <c r="I260" s="208">
        <f t="shared" ref="I260:I261" si="169">TRUNC(SUM(G260:H260),2)</f>
        <v>0</v>
      </c>
      <c r="J260" s="212">
        <f>TRUNC(F260*G260,2)</f>
        <v>0</v>
      </c>
      <c r="K260" s="212">
        <f>TRUNC(F260*H260,2)</f>
        <v>0</v>
      </c>
      <c r="L260" s="212">
        <f>TRUNC(SUM(J260,K260),2)</f>
        <v>0</v>
      </c>
    </row>
    <row r="261" spans="1:12" ht="37.5" customHeight="1" x14ac:dyDescent="0.25">
      <c r="A261" s="325" t="s">
        <v>926</v>
      </c>
      <c r="B261" s="388"/>
      <c r="C261" s="331"/>
      <c r="D261" s="351" t="s">
        <v>1081</v>
      </c>
      <c r="E261" s="332" t="s">
        <v>217</v>
      </c>
      <c r="F261" s="324">
        <v>2</v>
      </c>
      <c r="G261" s="212"/>
      <c r="H261" s="212"/>
      <c r="I261" s="208">
        <f t="shared" si="169"/>
        <v>0</v>
      </c>
      <c r="J261" s="212">
        <f>TRUNC(F261*G261,2)</f>
        <v>0</v>
      </c>
      <c r="K261" s="212">
        <f>TRUNC(F261*H261,2)</f>
        <v>0</v>
      </c>
      <c r="L261" s="212">
        <f>TRUNC(SUM(J261,K261),2)</f>
        <v>0</v>
      </c>
    </row>
    <row r="262" spans="1:12" ht="39.6" x14ac:dyDescent="0.25">
      <c r="A262" s="325" t="s">
        <v>928</v>
      </c>
      <c r="B262" s="330"/>
      <c r="C262" s="331"/>
      <c r="D262" s="325" t="s">
        <v>159</v>
      </c>
      <c r="E262" s="332" t="s">
        <v>217</v>
      </c>
      <c r="F262" s="379">
        <v>9</v>
      </c>
      <c r="G262" s="208"/>
      <c r="H262" s="208"/>
      <c r="I262" s="208">
        <f t="shared" si="165"/>
        <v>0</v>
      </c>
      <c r="J262" s="208">
        <f t="shared" si="166"/>
        <v>0</v>
      </c>
      <c r="K262" s="208">
        <f t="shared" si="167"/>
        <v>0</v>
      </c>
      <c r="L262" s="208">
        <f t="shared" si="168"/>
        <v>0</v>
      </c>
    </row>
    <row r="263" spans="1:12" ht="39" customHeight="1" x14ac:dyDescent="0.25">
      <c r="A263" s="325" t="s">
        <v>929</v>
      </c>
      <c r="B263" s="388"/>
      <c r="C263" s="350"/>
      <c r="D263" s="351" t="s">
        <v>927</v>
      </c>
      <c r="E263" s="332" t="s">
        <v>217</v>
      </c>
      <c r="F263" s="324">
        <v>3</v>
      </c>
      <c r="G263" s="212"/>
      <c r="H263" s="212"/>
      <c r="I263" s="208">
        <f t="shared" si="165"/>
        <v>0</v>
      </c>
      <c r="J263" s="212">
        <f t="shared" si="166"/>
        <v>0</v>
      </c>
      <c r="K263" s="212">
        <f t="shared" si="167"/>
        <v>0</v>
      </c>
      <c r="L263" s="212">
        <f t="shared" si="168"/>
        <v>0</v>
      </c>
    </row>
    <row r="264" spans="1:12" ht="39" customHeight="1" x14ac:dyDescent="0.25">
      <c r="A264" s="325" t="s">
        <v>930</v>
      </c>
      <c r="B264" s="330"/>
      <c r="C264" s="331"/>
      <c r="D264" s="325" t="s">
        <v>160</v>
      </c>
      <c r="E264" s="332" t="s">
        <v>217</v>
      </c>
      <c r="F264" s="379">
        <v>5</v>
      </c>
      <c r="G264" s="208"/>
      <c r="H264" s="208"/>
      <c r="I264" s="208">
        <f t="shared" si="165"/>
        <v>0</v>
      </c>
      <c r="J264" s="208">
        <f t="shared" si="166"/>
        <v>0</v>
      </c>
      <c r="K264" s="208">
        <f t="shared" si="167"/>
        <v>0</v>
      </c>
      <c r="L264" s="208">
        <f t="shared" si="168"/>
        <v>0</v>
      </c>
    </row>
    <row r="265" spans="1:12" ht="39" customHeight="1" x14ac:dyDescent="0.25">
      <c r="A265" s="325" t="s">
        <v>931</v>
      </c>
      <c r="B265" s="388"/>
      <c r="C265" s="350"/>
      <c r="D265" s="351" t="s">
        <v>1082</v>
      </c>
      <c r="E265" s="332" t="s">
        <v>217</v>
      </c>
      <c r="F265" s="324">
        <v>9</v>
      </c>
      <c r="G265" s="212"/>
      <c r="H265" s="212"/>
      <c r="I265" s="208">
        <f t="shared" si="165"/>
        <v>0</v>
      </c>
      <c r="J265" s="212">
        <f t="shared" si="166"/>
        <v>0</v>
      </c>
      <c r="K265" s="212">
        <f t="shared" si="167"/>
        <v>0</v>
      </c>
      <c r="L265" s="212">
        <f t="shared" si="168"/>
        <v>0</v>
      </c>
    </row>
    <row r="266" spans="1:12" ht="39" customHeight="1" x14ac:dyDescent="0.25">
      <c r="A266" s="325" t="s">
        <v>932</v>
      </c>
      <c r="B266" s="388"/>
      <c r="C266" s="350"/>
      <c r="D266" s="351" t="s">
        <v>1083</v>
      </c>
      <c r="E266" s="332" t="s">
        <v>217</v>
      </c>
      <c r="F266" s="324">
        <v>11</v>
      </c>
      <c r="G266" s="212"/>
      <c r="H266" s="212"/>
      <c r="I266" s="208">
        <f t="shared" si="165"/>
        <v>0</v>
      </c>
      <c r="J266" s="212">
        <f t="shared" si="166"/>
        <v>0</v>
      </c>
      <c r="K266" s="212">
        <f t="shared" si="167"/>
        <v>0</v>
      </c>
      <c r="L266" s="212">
        <f t="shared" si="168"/>
        <v>0</v>
      </c>
    </row>
    <row r="267" spans="1:12" ht="39" customHeight="1" x14ac:dyDescent="0.25">
      <c r="A267" s="325" t="s">
        <v>933</v>
      </c>
      <c r="B267" s="388"/>
      <c r="C267" s="350"/>
      <c r="D267" s="351" t="s">
        <v>1084</v>
      </c>
      <c r="E267" s="332" t="s">
        <v>217</v>
      </c>
      <c r="F267" s="324">
        <v>15</v>
      </c>
      <c r="G267" s="212"/>
      <c r="H267" s="212"/>
      <c r="I267" s="208">
        <f t="shared" si="165"/>
        <v>0</v>
      </c>
      <c r="J267" s="212">
        <f t="shared" si="166"/>
        <v>0</v>
      </c>
      <c r="K267" s="212">
        <f t="shared" si="167"/>
        <v>0</v>
      </c>
      <c r="L267" s="212">
        <f t="shared" si="168"/>
        <v>0</v>
      </c>
    </row>
    <row r="268" spans="1:12" ht="39.6" x14ac:dyDescent="0.25">
      <c r="A268" s="325" t="s">
        <v>936</v>
      </c>
      <c r="B268" s="330"/>
      <c r="C268" s="331"/>
      <c r="D268" s="325" t="s">
        <v>934</v>
      </c>
      <c r="E268" s="332" t="s">
        <v>217</v>
      </c>
      <c r="F268" s="379">
        <v>1</v>
      </c>
      <c r="G268" s="208"/>
      <c r="H268" s="208"/>
      <c r="I268" s="208">
        <f t="shared" si="165"/>
        <v>0</v>
      </c>
      <c r="J268" s="208">
        <f t="shared" si="166"/>
        <v>0</v>
      </c>
      <c r="K268" s="208">
        <f t="shared" si="167"/>
        <v>0</v>
      </c>
      <c r="L268" s="208">
        <f t="shared" si="168"/>
        <v>0</v>
      </c>
    </row>
    <row r="269" spans="1:12" ht="39.6" x14ac:dyDescent="0.25">
      <c r="A269" s="325" t="s">
        <v>937</v>
      </c>
      <c r="B269" s="330"/>
      <c r="C269" s="331"/>
      <c r="D269" s="325" t="s">
        <v>935</v>
      </c>
      <c r="E269" s="332" t="s">
        <v>217</v>
      </c>
      <c r="F269" s="379">
        <v>5</v>
      </c>
      <c r="G269" s="208"/>
      <c r="H269" s="208"/>
      <c r="I269" s="208">
        <f t="shared" si="165"/>
        <v>0</v>
      </c>
      <c r="J269" s="208">
        <f t="shared" si="166"/>
        <v>0</v>
      </c>
      <c r="K269" s="208">
        <f t="shared" si="167"/>
        <v>0</v>
      </c>
      <c r="L269" s="208">
        <f t="shared" si="168"/>
        <v>0</v>
      </c>
    </row>
    <row r="270" spans="1:12" ht="39.6" x14ac:dyDescent="0.25">
      <c r="A270" s="325" t="s">
        <v>938</v>
      </c>
      <c r="B270" s="330"/>
      <c r="C270" s="331"/>
      <c r="D270" s="325" t="s">
        <v>161</v>
      </c>
      <c r="E270" s="332" t="s">
        <v>217</v>
      </c>
      <c r="F270" s="379">
        <v>24</v>
      </c>
      <c r="G270" s="208"/>
      <c r="H270" s="208"/>
      <c r="I270" s="208">
        <f t="shared" si="165"/>
        <v>0</v>
      </c>
      <c r="J270" s="208">
        <f t="shared" si="166"/>
        <v>0</v>
      </c>
      <c r="K270" s="208">
        <f t="shared" si="167"/>
        <v>0</v>
      </c>
      <c r="L270" s="208">
        <f t="shared" si="168"/>
        <v>0</v>
      </c>
    </row>
    <row r="271" spans="1:12" x14ac:dyDescent="0.25">
      <c r="A271" s="325" t="s">
        <v>939</v>
      </c>
      <c r="B271" s="349"/>
      <c r="C271" s="350"/>
      <c r="D271" s="351" t="s">
        <v>1085</v>
      </c>
      <c r="E271" s="332" t="s">
        <v>217</v>
      </c>
      <c r="F271" s="324">
        <v>5</v>
      </c>
      <c r="G271" s="212"/>
      <c r="H271" s="212"/>
      <c r="I271" s="208">
        <f t="shared" si="165"/>
        <v>0</v>
      </c>
      <c r="J271" s="212">
        <f t="shared" si="166"/>
        <v>0</v>
      </c>
      <c r="K271" s="212">
        <f t="shared" si="167"/>
        <v>0</v>
      </c>
      <c r="L271" s="212">
        <f t="shared" si="168"/>
        <v>0</v>
      </c>
    </row>
    <row r="272" spans="1:12" ht="39.6" x14ac:dyDescent="0.25">
      <c r="A272" s="325" t="s">
        <v>940</v>
      </c>
      <c r="B272" s="330"/>
      <c r="C272" s="331"/>
      <c r="D272" s="325" t="s">
        <v>301</v>
      </c>
      <c r="E272" s="332" t="s">
        <v>217</v>
      </c>
      <c r="F272" s="379">
        <v>10</v>
      </c>
      <c r="G272" s="208"/>
      <c r="H272" s="208"/>
      <c r="I272" s="208">
        <f t="shared" si="165"/>
        <v>0</v>
      </c>
      <c r="J272" s="208">
        <f t="shared" si="166"/>
        <v>0</v>
      </c>
      <c r="K272" s="208">
        <f t="shared" si="167"/>
        <v>0</v>
      </c>
      <c r="L272" s="208">
        <f t="shared" si="168"/>
        <v>0</v>
      </c>
    </row>
    <row r="273" spans="1:12" ht="39.6" x14ac:dyDescent="0.25">
      <c r="A273" s="325" t="s">
        <v>942</v>
      </c>
      <c r="B273" s="330"/>
      <c r="C273" s="331"/>
      <c r="D273" s="325" t="s">
        <v>168</v>
      </c>
      <c r="E273" s="332" t="s">
        <v>217</v>
      </c>
      <c r="F273" s="379">
        <v>5</v>
      </c>
      <c r="G273" s="208"/>
      <c r="H273" s="208"/>
      <c r="I273" s="208">
        <f>TRUNC(SUM(G273:H273),2)</f>
        <v>0</v>
      </c>
      <c r="J273" s="208">
        <f>TRUNC(F273*G273,2)</f>
        <v>0</v>
      </c>
      <c r="K273" s="208">
        <f>TRUNC(F273*H273,2)</f>
        <v>0</v>
      </c>
      <c r="L273" s="208">
        <f>TRUNC(SUM(J273,K273),2)</f>
        <v>0</v>
      </c>
    </row>
    <row r="274" spans="1:12" ht="39.6" x14ac:dyDescent="0.25">
      <c r="A274" s="325" t="s">
        <v>943</v>
      </c>
      <c r="B274" s="330"/>
      <c r="C274" s="331"/>
      <c r="D274" s="325" t="s">
        <v>169</v>
      </c>
      <c r="E274" s="332" t="s">
        <v>217</v>
      </c>
      <c r="F274" s="379">
        <v>2</v>
      </c>
      <c r="G274" s="208"/>
      <c r="H274" s="208"/>
      <c r="I274" s="208">
        <f>TRUNC(SUM(G274:H274),2)</f>
        <v>0</v>
      </c>
      <c r="J274" s="208">
        <f>TRUNC(F274*G274,2)</f>
        <v>0</v>
      </c>
      <c r="K274" s="208">
        <f>TRUNC(F274*H274,2)</f>
        <v>0</v>
      </c>
      <c r="L274" s="208">
        <f>TRUNC(SUM(J274,K274),2)</f>
        <v>0</v>
      </c>
    </row>
    <row r="275" spans="1:12" ht="26.4" x14ac:dyDescent="0.25">
      <c r="A275" s="325" t="s">
        <v>944</v>
      </c>
      <c r="B275" s="330"/>
      <c r="C275" s="331"/>
      <c r="D275" s="325" t="s">
        <v>1086</v>
      </c>
      <c r="E275" s="332" t="s">
        <v>89</v>
      </c>
      <c r="F275" s="379">
        <v>63.7</v>
      </c>
      <c r="G275" s="208"/>
      <c r="H275" s="208"/>
      <c r="I275" s="208">
        <f>TRUNC(SUM(G275:H275),2)</f>
        <v>0</v>
      </c>
      <c r="J275" s="208">
        <f>TRUNC(F275*G275,2)</f>
        <v>0</v>
      </c>
      <c r="K275" s="208">
        <f>TRUNC(F275*H275,2)</f>
        <v>0</v>
      </c>
      <c r="L275" s="208">
        <f>TRUNC(SUM(J275,K275),2)</f>
        <v>0</v>
      </c>
    </row>
    <row r="276" spans="1:12" ht="26.4" x14ac:dyDescent="0.25">
      <c r="A276" s="325" t="s">
        <v>945</v>
      </c>
      <c r="B276" s="330"/>
      <c r="C276" s="331"/>
      <c r="D276" s="325" t="s">
        <v>941</v>
      </c>
      <c r="E276" s="332" t="s">
        <v>217</v>
      </c>
      <c r="F276" s="379">
        <v>5</v>
      </c>
      <c r="G276" s="208"/>
      <c r="H276" s="208"/>
      <c r="I276" s="208">
        <f>TRUNC(SUM(G276:H276),2)</f>
        <v>0</v>
      </c>
      <c r="J276" s="208">
        <f>TRUNC(F276*G276,2)</f>
        <v>0</v>
      </c>
      <c r="K276" s="208">
        <f>TRUNC(F276*H276,2)</f>
        <v>0</v>
      </c>
      <c r="L276" s="208">
        <f>TRUNC(SUM(J276,K276),2)</f>
        <v>0</v>
      </c>
    </row>
    <row r="277" spans="1:12" ht="26.4" x14ac:dyDescent="0.25">
      <c r="A277" s="325" t="s">
        <v>946</v>
      </c>
      <c r="B277" s="330"/>
      <c r="C277" s="331"/>
      <c r="D277" s="325" t="s">
        <v>879</v>
      </c>
      <c r="E277" s="332" t="s">
        <v>217</v>
      </c>
      <c r="F277" s="379">
        <v>3</v>
      </c>
      <c r="G277" s="208"/>
      <c r="H277" s="208"/>
      <c r="I277" s="208">
        <f t="shared" si="165"/>
        <v>0</v>
      </c>
      <c r="J277" s="208">
        <f t="shared" si="166"/>
        <v>0</v>
      </c>
      <c r="K277" s="208">
        <f t="shared" si="167"/>
        <v>0</v>
      </c>
      <c r="L277" s="208">
        <f t="shared" si="168"/>
        <v>0</v>
      </c>
    </row>
    <row r="278" spans="1:12" ht="26.4" x14ac:dyDescent="0.25">
      <c r="A278" s="325" t="s">
        <v>947</v>
      </c>
      <c r="B278" s="330"/>
      <c r="C278" s="331"/>
      <c r="D278" s="325" t="s">
        <v>880</v>
      </c>
      <c r="E278" s="332" t="s">
        <v>217</v>
      </c>
      <c r="F278" s="379">
        <v>11</v>
      </c>
      <c r="G278" s="208"/>
      <c r="H278" s="208"/>
      <c r="I278" s="208">
        <f t="shared" si="165"/>
        <v>0</v>
      </c>
      <c r="J278" s="208">
        <f t="shared" si="166"/>
        <v>0</v>
      </c>
      <c r="K278" s="208">
        <f t="shared" si="167"/>
        <v>0</v>
      </c>
      <c r="L278" s="208">
        <f t="shared" si="168"/>
        <v>0</v>
      </c>
    </row>
    <row r="279" spans="1:12" ht="26.4" x14ac:dyDescent="0.25">
      <c r="A279" s="325" t="s">
        <v>948</v>
      </c>
      <c r="B279" s="330"/>
      <c r="C279" s="331"/>
      <c r="D279" s="325" t="s">
        <v>881</v>
      </c>
      <c r="E279" s="332" t="s">
        <v>217</v>
      </c>
      <c r="F279" s="379">
        <v>5</v>
      </c>
      <c r="G279" s="208"/>
      <c r="H279" s="208"/>
      <c r="I279" s="208">
        <f t="shared" si="165"/>
        <v>0</v>
      </c>
      <c r="J279" s="208">
        <f t="shared" si="166"/>
        <v>0</v>
      </c>
      <c r="K279" s="208">
        <f t="shared" si="167"/>
        <v>0</v>
      </c>
      <c r="L279" s="208">
        <f t="shared" si="168"/>
        <v>0</v>
      </c>
    </row>
    <row r="280" spans="1:12" ht="39" customHeight="1" x14ac:dyDescent="0.25">
      <c r="A280" s="325" t="s">
        <v>949</v>
      </c>
      <c r="B280" s="330"/>
      <c r="C280" s="331"/>
      <c r="D280" s="325" t="s">
        <v>302</v>
      </c>
      <c r="E280" s="332" t="s">
        <v>89</v>
      </c>
      <c r="F280" s="379">
        <v>40.799999999999997</v>
      </c>
      <c r="G280" s="208"/>
      <c r="H280" s="208"/>
      <c r="I280" s="208">
        <f t="shared" si="165"/>
        <v>0</v>
      </c>
      <c r="J280" s="208">
        <f t="shared" si="166"/>
        <v>0</v>
      </c>
      <c r="K280" s="208">
        <f t="shared" si="167"/>
        <v>0</v>
      </c>
      <c r="L280" s="208">
        <f t="shared" si="168"/>
        <v>0</v>
      </c>
    </row>
    <row r="281" spans="1:12" ht="26.4" x14ac:dyDescent="0.25">
      <c r="A281" s="325" t="s">
        <v>950</v>
      </c>
      <c r="B281" s="385"/>
      <c r="C281" s="344"/>
      <c r="D281" s="342" t="s">
        <v>1087</v>
      </c>
      <c r="E281" s="345" t="s">
        <v>89</v>
      </c>
      <c r="F281" s="346">
        <v>8.1999999999999993</v>
      </c>
      <c r="G281" s="208"/>
      <c r="H281" s="208"/>
      <c r="I281" s="208">
        <f>TRUNC(SUM(G281:H281),2)</f>
        <v>0</v>
      </c>
      <c r="J281" s="208">
        <f t="shared" ref="J281:J286" si="170">TRUNC(F281*G281,2)</f>
        <v>0</v>
      </c>
      <c r="K281" s="208">
        <f t="shared" ref="K281:K286" si="171">TRUNC(F281*H281,2)</f>
        <v>0</v>
      </c>
      <c r="L281" s="208">
        <f t="shared" ref="L281:L286" si="172">TRUNC(SUM(J281,K281),2)</f>
        <v>0</v>
      </c>
    </row>
    <row r="282" spans="1:12" ht="39.6" x14ac:dyDescent="0.25">
      <c r="A282" s="325" t="s">
        <v>951</v>
      </c>
      <c r="B282" s="385"/>
      <c r="C282" s="361"/>
      <c r="D282" s="342" t="s">
        <v>1088</v>
      </c>
      <c r="E282" s="345" t="s">
        <v>217</v>
      </c>
      <c r="F282" s="378">
        <v>8.1999999999999993</v>
      </c>
      <c r="G282" s="212"/>
      <c r="H282" s="212"/>
      <c r="I282" s="208">
        <f t="shared" ref="I282:I284" si="173">TRUNC(SUM(G282:H282),2)</f>
        <v>0</v>
      </c>
      <c r="J282" s="212">
        <f t="shared" si="170"/>
        <v>0</v>
      </c>
      <c r="K282" s="212">
        <f t="shared" si="171"/>
        <v>0</v>
      </c>
      <c r="L282" s="212">
        <f t="shared" si="172"/>
        <v>0</v>
      </c>
    </row>
    <row r="283" spans="1:12" ht="39.6" x14ac:dyDescent="0.25">
      <c r="A283" s="325" t="s">
        <v>952</v>
      </c>
      <c r="B283" s="361"/>
      <c r="C283" s="361"/>
      <c r="D283" s="342" t="s">
        <v>1089</v>
      </c>
      <c r="E283" s="345" t="s">
        <v>217</v>
      </c>
      <c r="F283" s="378">
        <v>16</v>
      </c>
      <c r="G283" s="212"/>
      <c r="H283" s="212"/>
      <c r="I283" s="208">
        <f t="shared" si="173"/>
        <v>0</v>
      </c>
      <c r="J283" s="212">
        <f t="shared" si="170"/>
        <v>0</v>
      </c>
      <c r="K283" s="212">
        <f t="shared" si="171"/>
        <v>0</v>
      </c>
      <c r="L283" s="212">
        <f t="shared" si="172"/>
        <v>0</v>
      </c>
    </row>
    <row r="284" spans="1:12" ht="39.6" x14ac:dyDescent="0.25">
      <c r="A284" s="325" t="s">
        <v>953</v>
      </c>
      <c r="B284" s="361"/>
      <c r="C284" s="361"/>
      <c r="D284" s="362" t="s">
        <v>1090</v>
      </c>
      <c r="E284" s="345" t="s">
        <v>217</v>
      </c>
      <c r="F284" s="378">
        <v>5</v>
      </c>
      <c r="G284" s="212"/>
      <c r="H284" s="212"/>
      <c r="I284" s="208">
        <f t="shared" si="173"/>
        <v>0</v>
      </c>
      <c r="J284" s="212">
        <f t="shared" si="170"/>
        <v>0</v>
      </c>
      <c r="K284" s="212">
        <f t="shared" si="171"/>
        <v>0</v>
      </c>
      <c r="L284" s="212">
        <f t="shared" si="172"/>
        <v>0</v>
      </c>
    </row>
    <row r="285" spans="1:12" ht="39.6" x14ac:dyDescent="0.25">
      <c r="A285" s="325" t="s">
        <v>954</v>
      </c>
      <c r="B285" s="330"/>
      <c r="C285" s="331"/>
      <c r="D285" s="325" t="s">
        <v>1091</v>
      </c>
      <c r="E285" s="345" t="s">
        <v>217</v>
      </c>
      <c r="F285" s="379">
        <v>3</v>
      </c>
      <c r="G285" s="208"/>
      <c r="H285" s="208"/>
      <c r="I285" s="208">
        <f>TRUNC(SUM(G285:H285),2)</f>
        <v>0</v>
      </c>
      <c r="J285" s="208">
        <f t="shared" si="170"/>
        <v>0</v>
      </c>
      <c r="K285" s="208">
        <f t="shared" si="171"/>
        <v>0</v>
      </c>
      <c r="L285" s="208">
        <f t="shared" si="172"/>
        <v>0</v>
      </c>
    </row>
    <row r="286" spans="1:12" x14ac:dyDescent="0.25">
      <c r="A286" s="325" t="s">
        <v>955</v>
      </c>
      <c r="B286" s="361"/>
      <c r="C286" s="361"/>
      <c r="D286" s="342" t="s">
        <v>958</v>
      </c>
      <c r="E286" s="345" t="s">
        <v>217</v>
      </c>
      <c r="F286" s="378">
        <v>3</v>
      </c>
      <c r="G286" s="212"/>
      <c r="H286" s="212"/>
      <c r="I286" s="208">
        <f>TRUNC(SUM(G286:H286),2)</f>
        <v>0</v>
      </c>
      <c r="J286" s="208">
        <f t="shared" si="170"/>
        <v>0</v>
      </c>
      <c r="K286" s="208">
        <f t="shared" si="171"/>
        <v>0</v>
      </c>
      <c r="L286" s="208">
        <f t="shared" si="172"/>
        <v>0</v>
      </c>
    </row>
    <row r="287" spans="1:12" ht="39.6" x14ac:dyDescent="0.25">
      <c r="A287" s="325" t="s">
        <v>439</v>
      </c>
      <c r="B287" s="330"/>
      <c r="C287" s="331"/>
      <c r="D287" s="325" t="s">
        <v>1092</v>
      </c>
      <c r="E287" s="345" t="s">
        <v>217</v>
      </c>
      <c r="F287" s="379">
        <v>9</v>
      </c>
      <c r="G287" s="208"/>
      <c r="H287" s="208"/>
      <c r="I287" s="208">
        <f t="shared" si="165"/>
        <v>0</v>
      </c>
      <c r="J287" s="208">
        <f t="shared" si="166"/>
        <v>0</v>
      </c>
      <c r="K287" s="208">
        <f t="shared" si="167"/>
        <v>0</v>
      </c>
      <c r="L287" s="208">
        <f t="shared" si="168"/>
        <v>0</v>
      </c>
    </row>
    <row r="288" spans="1:12" ht="39.6" x14ac:dyDescent="0.25">
      <c r="A288" s="325" t="s">
        <v>440</v>
      </c>
      <c r="B288" s="330"/>
      <c r="C288" s="331"/>
      <c r="D288" s="325" t="s">
        <v>1093</v>
      </c>
      <c r="E288" s="345" t="s">
        <v>217</v>
      </c>
      <c r="F288" s="379">
        <v>2</v>
      </c>
      <c r="G288" s="208"/>
      <c r="H288" s="208"/>
      <c r="I288" s="208">
        <f t="shared" si="165"/>
        <v>0</v>
      </c>
      <c r="J288" s="208">
        <f t="shared" si="166"/>
        <v>0</v>
      </c>
      <c r="K288" s="208">
        <f t="shared" si="167"/>
        <v>0</v>
      </c>
      <c r="L288" s="208">
        <f t="shared" si="168"/>
        <v>0</v>
      </c>
    </row>
    <row r="289" spans="1:12" ht="26.4" x14ac:dyDescent="0.25">
      <c r="A289" s="325" t="s">
        <v>441</v>
      </c>
      <c r="B289" s="334"/>
      <c r="C289" s="350"/>
      <c r="D289" s="351" t="s">
        <v>1094</v>
      </c>
      <c r="E289" s="345" t="s">
        <v>217</v>
      </c>
      <c r="F289" s="324">
        <v>4</v>
      </c>
      <c r="G289" s="212"/>
      <c r="H289" s="212"/>
      <c r="I289" s="208">
        <f t="shared" si="165"/>
        <v>0</v>
      </c>
      <c r="J289" s="212">
        <f t="shared" si="166"/>
        <v>0</v>
      </c>
      <c r="K289" s="212">
        <f t="shared" si="167"/>
        <v>0</v>
      </c>
      <c r="L289" s="212">
        <f t="shared" si="168"/>
        <v>0</v>
      </c>
    </row>
    <row r="290" spans="1:12" ht="24.75" customHeight="1" x14ac:dyDescent="0.25">
      <c r="A290" s="325" t="s">
        <v>442</v>
      </c>
      <c r="B290" s="388"/>
      <c r="C290" s="350"/>
      <c r="D290" s="351" t="s">
        <v>1095</v>
      </c>
      <c r="E290" s="332" t="s">
        <v>89</v>
      </c>
      <c r="F290" s="324">
        <v>50</v>
      </c>
      <c r="G290" s="212"/>
      <c r="H290" s="212"/>
      <c r="I290" s="208">
        <f t="shared" si="165"/>
        <v>0</v>
      </c>
      <c r="J290" s="212">
        <f t="shared" si="166"/>
        <v>0</v>
      </c>
      <c r="K290" s="212">
        <f t="shared" si="167"/>
        <v>0</v>
      </c>
      <c r="L290" s="212">
        <f t="shared" si="168"/>
        <v>0</v>
      </c>
    </row>
    <row r="291" spans="1:12" ht="26.25" customHeight="1" x14ac:dyDescent="0.25">
      <c r="A291" s="325" t="s">
        <v>443</v>
      </c>
      <c r="B291" s="388"/>
      <c r="C291" s="350"/>
      <c r="D291" s="362" t="s">
        <v>1097</v>
      </c>
      <c r="E291" s="352" t="s">
        <v>217</v>
      </c>
      <c r="F291" s="324">
        <v>6</v>
      </c>
      <c r="G291" s="212"/>
      <c r="H291" s="212"/>
      <c r="I291" s="208">
        <f t="shared" si="165"/>
        <v>0</v>
      </c>
      <c r="J291" s="208">
        <f>TRUNC(F291*G291,2)</f>
        <v>0</v>
      </c>
      <c r="K291" s="208">
        <f>TRUNC(F291*H291,2)</f>
        <v>0</v>
      </c>
      <c r="L291" s="208">
        <f>TRUNC(SUM(J291,K291),2)</f>
        <v>0</v>
      </c>
    </row>
    <row r="292" spans="1:12" ht="27.75" customHeight="1" x14ac:dyDescent="0.25">
      <c r="A292" s="325" t="s">
        <v>444</v>
      </c>
      <c r="B292" s="388"/>
      <c r="C292" s="350"/>
      <c r="D292" s="351" t="s">
        <v>167</v>
      </c>
      <c r="E292" s="352" t="s">
        <v>217</v>
      </c>
      <c r="F292" s="324">
        <v>23</v>
      </c>
      <c r="G292" s="212"/>
      <c r="H292" s="212"/>
      <c r="I292" s="208">
        <f t="shared" si="165"/>
        <v>0</v>
      </c>
      <c r="J292" s="208">
        <f>TRUNC(F292*G292,2)</f>
        <v>0</v>
      </c>
      <c r="K292" s="208">
        <f>TRUNC(F292*H292,2)</f>
        <v>0</v>
      </c>
      <c r="L292" s="208">
        <f>TRUNC(SUM(J292,K292),2)</f>
        <v>0</v>
      </c>
    </row>
    <row r="293" spans="1:12" ht="39.6" x14ac:dyDescent="0.25">
      <c r="A293" s="325" t="s">
        <v>963</v>
      </c>
      <c r="B293" s="388"/>
      <c r="C293" s="350"/>
      <c r="D293" s="351" t="s">
        <v>959</v>
      </c>
      <c r="E293" s="352" t="s">
        <v>217</v>
      </c>
      <c r="F293" s="378">
        <v>2</v>
      </c>
      <c r="G293" s="212"/>
      <c r="H293" s="212"/>
      <c r="I293" s="208">
        <f t="shared" si="165"/>
        <v>0</v>
      </c>
      <c r="J293" s="208">
        <f t="shared" si="166"/>
        <v>0</v>
      </c>
      <c r="K293" s="208">
        <f t="shared" si="167"/>
        <v>0</v>
      </c>
      <c r="L293" s="208">
        <f t="shared" si="168"/>
        <v>0</v>
      </c>
    </row>
    <row r="294" spans="1:12" ht="39.6" x14ac:dyDescent="0.25">
      <c r="A294" s="325" t="s">
        <v>964</v>
      </c>
      <c r="B294" s="388"/>
      <c r="C294" s="350"/>
      <c r="D294" s="351" t="s">
        <v>170</v>
      </c>
      <c r="E294" s="352" t="s">
        <v>217</v>
      </c>
      <c r="F294" s="378">
        <v>6</v>
      </c>
      <c r="G294" s="212"/>
      <c r="H294" s="212"/>
      <c r="I294" s="208">
        <f t="shared" si="165"/>
        <v>0</v>
      </c>
      <c r="J294" s="208">
        <f t="shared" si="166"/>
        <v>0</v>
      </c>
      <c r="K294" s="208">
        <f t="shared" si="167"/>
        <v>0</v>
      </c>
      <c r="L294" s="208">
        <f t="shared" si="168"/>
        <v>0</v>
      </c>
    </row>
    <row r="295" spans="1:12" ht="39.6" x14ac:dyDescent="0.25">
      <c r="A295" s="325" t="s">
        <v>965</v>
      </c>
      <c r="B295" s="388"/>
      <c r="C295" s="350"/>
      <c r="D295" s="351" t="s">
        <v>171</v>
      </c>
      <c r="E295" s="352" t="s">
        <v>217</v>
      </c>
      <c r="F295" s="378">
        <v>3</v>
      </c>
      <c r="G295" s="212"/>
      <c r="H295" s="212"/>
      <c r="I295" s="208">
        <f t="shared" si="165"/>
        <v>0</v>
      </c>
      <c r="J295" s="212">
        <f t="shared" si="166"/>
        <v>0</v>
      </c>
      <c r="K295" s="212">
        <f t="shared" si="167"/>
        <v>0</v>
      </c>
      <c r="L295" s="212">
        <f t="shared" si="168"/>
        <v>0</v>
      </c>
    </row>
    <row r="296" spans="1:12" ht="39.6" x14ac:dyDescent="0.25">
      <c r="A296" s="325" t="s">
        <v>966</v>
      </c>
      <c r="B296" s="388"/>
      <c r="C296" s="350"/>
      <c r="D296" s="351" t="s">
        <v>956</v>
      </c>
      <c r="E296" s="352" t="s">
        <v>217</v>
      </c>
      <c r="F296" s="378">
        <v>1</v>
      </c>
      <c r="G296" s="212"/>
      <c r="H296" s="212"/>
      <c r="I296" s="208">
        <f t="shared" si="165"/>
        <v>0</v>
      </c>
      <c r="J296" s="212">
        <f t="shared" si="166"/>
        <v>0</v>
      </c>
      <c r="K296" s="212">
        <f t="shared" si="167"/>
        <v>0</v>
      </c>
      <c r="L296" s="212">
        <f t="shared" si="168"/>
        <v>0</v>
      </c>
    </row>
    <row r="297" spans="1:12" ht="39.6" x14ac:dyDescent="0.25">
      <c r="A297" s="325" t="s">
        <v>967</v>
      </c>
      <c r="B297" s="385"/>
      <c r="C297" s="361"/>
      <c r="D297" s="362" t="s">
        <v>957</v>
      </c>
      <c r="E297" s="352" t="s">
        <v>217</v>
      </c>
      <c r="F297" s="378">
        <v>1</v>
      </c>
      <c r="G297" s="212"/>
      <c r="H297" s="212"/>
      <c r="I297" s="208">
        <f t="shared" ref="I297:I308" si="174">TRUNC(SUM(G297:H297),2)</f>
        <v>0</v>
      </c>
      <c r="J297" s="208">
        <f t="shared" si="166"/>
        <v>0</v>
      </c>
      <c r="K297" s="208">
        <f t="shared" si="167"/>
        <v>0</v>
      </c>
      <c r="L297" s="208">
        <f t="shared" si="168"/>
        <v>0</v>
      </c>
    </row>
    <row r="298" spans="1:12" ht="39.6" x14ac:dyDescent="0.25">
      <c r="A298" s="325" t="s">
        <v>968</v>
      </c>
      <c r="B298" s="385"/>
      <c r="C298" s="361"/>
      <c r="D298" s="362" t="s">
        <v>436</v>
      </c>
      <c r="E298" s="352" t="s">
        <v>217</v>
      </c>
      <c r="F298" s="378">
        <v>32</v>
      </c>
      <c r="G298" s="212"/>
      <c r="H298" s="212"/>
      <c r="I298" s="208">
        <f t="shared" si="174"/>
        <v>0</v>
      </c>
      <c r="J298" s="208">
        <f t="shared" si="166"/>
        <v>0</v>
      </c>
      <c r="K298" s="208">
        <f t="shared" si="167"/>
        <v>0</v>
      </c>
      <c r="L298" s="208">
        <f t="shared" si="168"/>
        <v>0</v>
      </c>
    </row>
    <row r="299" spans="1:12" ht="39.6" x14ac:dyDescent="0.25">
      <c r="A299" s="325" t="s">
        <v>969</v>
      </c>
      <c r="B299" s="385"/>
      <c r="C299" s="361"/>
      <c r="D299" s="362" t="s">
        <v>437</v>
      </c>
      <c r="E299" s="352" t="s">
        <v>217</v>
      </c>
      <c r="F299" s="378">
        <v>4</v>
      </c>
      <c r="G299" s="212"/>
      <c r="H299" s="212"/>
      <c r="I299" s="208">
        <f t="shared" si="174"/>
        <v>0</v>
      </c>
      <c r="J299" s="208">
        <f t="shared" si="166"/>
        <v>0</v>
      </c>
      <c r="K299" s="208">
        <f t="shared" si="167"/>
        <v>0</v>
      </c>
      <c r="L299" s="208">
        <f t="shared" si="168"/>
        <v>0</v>
      </c>
    </row>
    <row r="300" spans="1:12" ht="39.6" x14ac:dyDescent="0.25">
      <c r="A300" s="325" t="s">
        <v>970</v>
      </c>
      <c r="B300" s="385"/>
      <c r="C300" s="361"/>
      <c r="D300" s="362" t="s">
        <v>432</v>
      </c>
      <c r="E300" s="361" t="s">
        <v>89</v>
      </c>
      <c r="F300" s="378">
        <v>8.4</v>
      </c>
      <c r="G300" s="212"/>
      <c r="H300" s="212"/>
      <c r="I300" s="208">
        <f t="shared" ref="I300:I306" si="175">TRUNC(SUM(G300:H300),2)</f>
        <v>0</v>
      </c>
      <c r="J300" s="208">
        <f t="shared" ref="J300:J306" si="176">TRUNC(F300*G300,2)</f>
        <v>0</v>
      </c>
      <c r="K300" s="208">
        <f t="shared" ref="K300:K306" si="177">TRUNC(F300*H300,2)</f>
        <v>0</v>
      </c>
      <c r="L300" s="208">
        <f t="shared" ref="L300:L306" si="178">TRUNC(SUM(J300,K300),2)</f>
        <v>0</v>
      </c>
    </row>
    <row r="301" spans="1:12" ht="39.6" x14ac:dyDescent="0.25">
      <c r="A301" s="325" t="s">
        <v>971</v>
      </c>
      <c r="B301" s="385"/>
      <c r="C301" s="361"/>
      <c r="D301" s="362" t="s">
        <v>433</v>
      </c>
      <c r="E301" s="361" t="s">
        <v>89</v>
      </c>
      <c r="F301" s="378">
        <v>8.4</v>
      </c>
      <c r="G301" s="212"/>
      <c r="H301" s="212"/>
      <c r="I301" s="208">
        <f t="shared" si="175"/>
        <v>0</v>
      </c>
      <c r="J301" s="208">
        <f t="shared" si="176"/>
        <v>0</v>
      </c>
      <c r="K301" s="208">
        <f t="shared" si="177"/>
        <v>0</v>
      </c>
      <c r="L301" s="208">
        <f t="shared" si="178"/>
        <v>0</v>
      </c>
    </row>
    <row r="302" spans="1:12" ht="39.6" x14ac:dyDescent="0.25">
      <c r="A302" s="325" t="s">
        <v>1073</v>
      </c>
      <c r="B302" s="385"/>
      <c r="C302" s="361"/>
      <c r="D302" s="362" t="s">
        <v>961</v>
      </c>
      <c r="E302" s="361" t="s">
        <v>89</v>
      </c>
      <c r="F302" s="378">
        <v>7.8</v>
      </c>
      <c r="G302" s="212"/>
      <c r="H302" s="212"/>
      <c r="I302" s="208">
        <f t="shared" si="175"/>
        <v>0</v>
      </c>
      <c r="J302" s="208">
        <f t="shared" si="176"/>
        <v>0</v>
      </c>
      <c r="K302" s="208">
        <f t="shared" si="177"/>
        <v>0</v>
      </c>
      <c r="L302" s="208">
        <f t="shared" si="178"/>
        <v>0</v>
      </c>
    </row>
    <row r="303" spans="1:12" ht="39.6" x14ac:dyDescent="0.25">
      <c r="A303" s="325" t="s">
        <v>1074</v>
      </c>
      <c r="B303" s="385"/>
      <c r="C303" s="361"/>
      <c r="D303" s="362" t="s">
        <v>962</v>
      </c>
      <c r="E303" s="361" t="s">
        <v>89</v>
      </c>
      <c r="F303" s="378">
        <v>7.8</v>
      </c>
      <c r="G303" s="212"/>
      <c r="H303" s="212"/>
      <c r="I303" s="208">
        <f t="shared" si="175"/>
        <v>0</v>
      </c>
      <c r="J303" s="208">
        <f t="shared" si="176"/>
        <v>0</v>
      </c>
      <c r="K303" s="208">
        <f t="shared" si="177"/>
        <v>0</v>
      </c>
      <c r="L303" s="208">
        <f t="shared" si="178"/>
        <v>0</v>
      </c>
    </row>
    <row r="304" spans="1:12" x14ac:dyDescent="0.25">
      <c r="A304" s="325" t="s">
        <v>1075</v>
      </c>
      <c r="B304" s="385"/>
      <c r="C304" s="361"/>
      <c r="D304" s="362" t="s">
        <v>319</v>
      </c>
      <c r="E304" s="361" t="s">
        <v>58</v>
      </c>
      <c r="F304" s="378">
        <v>29.09</v>
      </c>
      <c r="G304" s="212"/>
      <c r="H304" s="212"/>
      <c r="I304" s="208">
        <f t="shared" si="175"/>
        <v>0</v>
      </c>
      <c r="J304" s="208">
        <f t="shared" si="176"/>
        <v>0</v>
      </c>
      <c r="K304" s="208">
        <f t="shared" si="177"/>
        <v>0</v>
      </c>
      <c r="L304" s="208">
        <f t="shared" si="178"/>
        <v>0</v>
      </c>
    </row>
    <row r="305" spans="1:12" ht="26.4" x14ac:dyDescent="0.25">
      <c r="A305" s="325" t="s">
        <v>1076</v>
      </c>
      <c r="B305" s="385"/>
      <c r="C305" s="361"/>
      <c r="D305" s="362" t="s">
        <v>72</v>
      </c>
      <c r="E305" s="361" t="s">
        <v>58</v>
      </c>
      <c r="F305" s="378">
        <v>28.34</v>
      </c>
      <c r="G305" s="212"/>
      <c r="H305" s="212"/>
      <c r="I305" s="208">
        <f t="shared" si="175"/>
        <v>0</v>
      </c>
      <c r="J305" s="208">
        <f t="shared" si="176"/>
        <v>0</v>
      </c>
      <c r="K305" s="208">
        <f t="shared" si="177"/>
        <v>0</v>
      </c>
      <c r="L305" s="208">
        <f t="shared" si="178"/>
        <v>0</v>
      </c>
    </row>
    <row r="306" spans="1:12" ht="26.4" x14ac:dyDescent="0.25">
      <c r="A306" s="325" t="s">
        <v>1077</v>
      </c>
      <c r="B306" s="385"/>
      <c r="C306" s="361"/>
      <c r="D306" s="362" t="s">
        <v>438</v>
      </c>
      <c r="E306" s="361" t="s">
        <v>58</v>
      </c>
      <c r="F306" s="378">
        <v>2.2799999999999998</v>
      </c>
      <c r="G306" s="212"/>
      <c r="H306" s="212"/>
      <c r="I306" s="208">
        <f t="shared" si="175"/>
        <v>0</v>
      </c>
      <c r="J306" s="208">
        <f t="shared" si="176"/>
        <v>0</v>
      </c>
      <c r="K306" s="208">
        <f t="shared" si="177"/>
        <v>0</v>
      </c>
      <c r="L306" s="208">
        <f t="shared" si="178"/>
        <v>0</v>
      </c>
    </row>
    <row r="307" spans="1:12" ht="39.75" customHeight="1" x14ac:dyDescent="0.25">
      <c r="A307" s="325" t="s">
        <v>1078</v>
      </c>
      <c r="B307" s="385"/>
      <c r="C307" s="361"/>
      <c r="D307" s="362" t="s">
        <v>67</v>
      </c>
      <c r="E307" s="361" t="s">
        <v>58</v>
      </c>
      <c r="F307" s="378">
        <v>16.13</v>
      </c>
      <c r="G307" s="212"/>
      <c r="H307" s="212"/>
      <c r="I307" s="208">
        <f t="shared" si="174"/>
        <v>0</v>
      </c>
      <c r="J307" s="208">
        <f t="shared" si="166"/>
        <v>0</v>
      </c>
      <c r="K307" s="208">
        <f t="shared" si="167"/>
        <v>0</v>
      </c>
      <c r="L307" s="208">
        <f t="shared" si="168"/>
        <v>0</v>
      </c>
    </row>
    <row r="308" spans="1:12" ht="26.4" x14ac:dyDescent="0.25">
      <c r="A308" s="325" t="s">
        <v>1079</v>
      </c>
      <c r="B308" s="385"/>
      <c r="C308" s="361"/>
      <c r="D308" s="362" t="s">
        <v>68</v>
      </c>
      <c r="E308" s="361" t="s">
        <v>1135</v>
      </c>
      <c r="F308" s="378">
        <v>483.9</v>
      </c>
      <c r="G308" s="212"/>
      <c r="H308" s="212"/>
      <c r="I308" s="208">
        <f t="shared" si="174"/>
        <v>0</v>
      </c>
      <c r="J308" s="208">
        <f t="shared" si="166"/>
        <v>0</v>
      </c>
      <c r="K308" s="208">
        <f t="shared" si="167"/>
        <v>0</v>
      </c>
      <c r="L308" s="208">
        <f t="shared" si="168"/>
        <v>0</v>
      </c>
    </row>
    <row r="309" spans="1:12" s="341" customFormat="1" x14ac:dyDescent="0.25">
      <c r="A309" s="207" t="s">
        <v>1136</v>
      </c>
      <c r="B309" s="338"/>
      <c r="C309" s="338"/>
      <c r="D309" s="207" t="s">
        <v>1137</v>
      </c>
      <c r="E309" s="207"/>
      <c r="F309" s="326"/>
      <c r="G309" s="209"/>
      <c r="H309" s="209"/>
      <c r="I309" s="209"/>
      <c r="J309" s="209"/>
      <c r="K309" s="209"/>
      <c r="L309" s="340">
        <f>SUM(L310:L327)</f>
        <v>0</v>
      </c>
    </row>
    <row r="310" spans="1:12" ht="26.4" x14ac:dyDescent="0.25">
      <c r="A310" s="351" t="s">
        <v>1138</v>
      </c>
      <c r="B310" s="385"/>
      <c r="C310" s="361"/>
      <c r="D310" s="362" t="s">
        <v>1139</v>
      </c>
      <c r="E310" s="361" t="s">
        <v>89</v>
      </c>
      <c r="F310" s="378">
        <v>39.799999999999997</v>
      </c>
      <c r="G310" s="212"/>
      <c r="H310" s="212"/>
      <c r="I310" s="208">
        <f t="shared" ref="I310" si="179">TRUNC(SUM(G310:H310),2)</f>
        <v>0</v>
      </c>
      <c r="J310" s="208">
        <f t="shared" ref="J310" si="180">TRUNC(F310*G310,2)</f>
        <v>0</v>
      </c>
      <c r="K310" s="208">
        <f t="shared" ref="K310" si="181">TRUNC(F310*H310,2)</f>
        <v>0</v>
      </c>
      <c r="L310" s="208">
        <f t="shared" ref="L310" si="182">TRUNC(SUM(J310,K310),2)</f>
        <v>0</v>
      </c>
    </row>
    <row r="311" spans="1:12" ht="26.4" x14ac:dyDescent="0.25">
      <c r="A311" s="351" t="s">
        <v>1140</v>
      </c>
      <c r="B311" s="385"/>
      <c r="C311" s="361"/>
      <c r="D311" s="362" t="s">
        <v>1141</v>
      </c>
      <c r="E311" s="361" t="s">
        <v>89</v>
      </c>
      <c r="F311" s="378">
        <v>17.2</v>
      </c>
      <c r="G311" s="212"/>
      <c r="H311" s="212"/>
      <c r="I311" s="208">
        <f t="shared" ref="I311:I327" si="183">TRUNC(SUM(G311:H311),2)</f>
        <v>0</v>
      </c>
      <c r="J311" s="208">
        <f t="shared" ref="J311:J327" si="184">TRUNC(F311*G311,2)</f>
        <v>0</v>
      </c>
      <c r="K311" s="208">
        <f t="shared" ref="K311:K327" si="185">TRUNC(F311*H311,2)</f>
        <v>0</v>
      </c>
      <c r="L311" s="208">
        <f t="shared" ref="L311:L327" si="186">TRUNC(SUM(J311,K311),2)</f>
        <v>0</v>
      </c>
    </row>
    <row r="312" spans="1:12" ht="26.4" x14ac:dyDescent="0.25">
      <c r="A312" s="351" t="s">
        <v>1142</v>
      </c>
      <c r="B312" s="385"/>
      <c r="C312" s="361"/>
      <c r="D312" s="362" t="s">
        <v>1143</v>
      </c>
      <c r="E312" s="361" t="s">
        <v>217</v>
      </c>
      <c r="F312" s="378">
        <v>6</v>
      </c>
      <c r="G312" s="212"/>
      <c r="H312" s="212"/>
      <c r="I312" s="208">
        <f t="shared" si="183"/>
        <v>0</v>
      </c>
      <c r="J312" s="208">
        <f t="shared" si="184"/>
        <v>0</v>
      </c>
      <c r="K312" s="208">
        <f t="shared" si="185"/>
        <v>0</v>
      </c>
      <c r="L312" s="208">
        <f t="shared" si="186"/>
        <v>0</v>
      </c>
    </row>
    <row r="313" spans="1:12" ht="26.4" x14ac:dyDescent="0.25">
      <c r="A313" s="351" t="s">
        <v>1144</v>
      </c>
      <c r="B313" s="385"/>
      <c r="C313" s="361"/>
      <c r="D313" s="362" t="s">
        <v>1145</v>
      </c>
      <c r="E313" s="361" t="s">
        <v>217</v>
      </c>
      <c r="F313" s="378">
        <v>16</v>
      </c>
      <c r="G313" s="212"/>
      <c r="H313" s="212"/>
      <c r="I313" s="208">
        <f t="shared" si="183"/>
        <v>0</v>
      </c>
      <c r="J313" s="208">
        <f t="shared" si="184"/>
        <v>0</v>
      </c>
      <c r="K313" s="208">
        <f t="shared" si="185"/>
        <v>0</v>
      </c>
      <c r="L313" s="208">
        <f t="shared" si="186"/>
        <v>0</v>
      </c>
    </row>
    <row r="314" spans="1:12" ht="26.4" x14ac:dyDescent="0.25">
      <c r="A314" s="351" t="s">
        <v>1146</v>
      </c>
      <c r="B314" s="385"/>
      <c r="C314" s="361"/>
      <c r="D314" s="362" t="s">
        <v>1147</v>
      </c>
      <c r="E314" s="361" t="s">
        <v>217</v>
      </c>
      <c r="F314" s="378">
        <v>5</v>
      </c>
      <c r="G314" s="212"/>
      <c r="H314" s="212"/>
      <c r="I314" s="208">
        <f t="shared" si="183"/>
        <v>0</v>
      </c>
      <c r="J314" s="208">
        <f t="shared" si="184"/>
        <v>0</v>
      </c>
      <c r="K314" s="208">
        <f t="shared" si="185"/>
        <v>0</v>
      </c>
      <c r="L314" s="208">
        <f t="shared" si="186"/>
        <v>0</v>
      </c>
    </row>
    <row r="315" spans="1:12" ht="39.6" x14ac:dyDescent="0.25">
      <c r="A315" s="351" t="s">
        <v>1148</v>
      </c>
      <c r="B315" s="385"/>
      <c r="C315" s="361"/>
      <c r="D315" s="362" t="s">
        <v>1149</v>
      </c>
      <c r="E315" s="361" t="s">
        <v>217</v>
      </c>
      <c r="F315" s="378">
        <v>2</v>
      </c>
      <c r="G315" s="212"/>
      <c r="H315" s="212"/>
      <c r="I315" s="208">
        <f t="shared" si="183"/>
        <v>0</v>
      </c>
      <c r="J315" s="208">
        <f t="shared" si="184"/>
        <v>0</v>
      </c>
      <c r="K315" s="208">
        <f t="shared" si="185"/>
        <v>0</v>
      </c>
      <c r="L315" s="208">
        <f t="shared" si="186"/>
        <v>0</v>
      </c>
    </row>
    <row r="316" spans="1:12" ht="26.4" x14ac:dyDescent="0.25">
      <c r="A316" s="351" t="s">
        <v>1150</v>
      </c>
      <c r="B316" s="385"/>
      <c r="C316" s="361"/>
      <c r="D316" s="362" t="s">
        <v>1151</v>
      </c>
      <c r="E316" s="361" t="s">
        <v>217</v>
      </c>
      <c r="F316" s="378">
        <v>3</v>
      </c>
      <c r="G316" s="212"/>
      <c r="H316" s="212"/>
      <c r="I316" s="208">
        <f t="shared" si="183"/>
        <v>0</v>
      </c>
      <c r="J316" s="208">
        <f t="shared" si="184"/>
        <v>0</v>
      </c>
      <c r="K316" s="208">
        <f t="shared" si="185"/>
        <v>0</v>
      </c>
      <c r="L316" s="208">
        <f t="shared" si="186"/>
        <v>0</v>
      </c>
    </row>
    <row r="317" spans="1:12" ht="39.6" x14ac:dyDescent="0.25">
      <c r="A317" s="351" t="s">
        <v>1152</v>
      </c>
      <c r="B317" s="385"/>
      <c r="C317" s="361"/>
      <c r="D317" s="362" t="s">
        <v>1153</v>
      </c>
      <c r="E317" s="361" t="s">
        <v>217</v>
      </c>
      <c r="F317" s="378">
        <v>9</v>
      </c>
      <c r="G317" s="212"/>
      <c r="H317" s="212"/>
      <c r="I317" s="208">
        <f t="shared" si="183"/>
        <v>0</v>
      </c>
      <c r="J317" s="208">
        <f t="shared" si="184"/>
        <v>0</v>
      </c>
      <c r="K317" s="208">
        <f t="shared" si="185"/>
        <v>0</v>
      </c>
      <c r="L317" s="208">
        <f t="shared" si="186"/>
        <v>0</v>
      </c>
    </row>
    <row r="318" spans="1:12" x14ac:dyDescent="0.25">
      <c r="A318" s="351" t="s">
        <v>1154</v>
      </c>
      <c r="B318" s="385"/>
      <c r="C318" s="361"/>
      <c r="D318" s="362" t="s">
        <v>1155</v>
      </c>
      <c r="E318" s="361" t="s">
        <v>217</v>
      </c>
      <c r="F318" s="378">
        <v>14</v>
      </c>
      <c r="G318" s="212"/>
      <c r="H318" s="212"/>
      <c r="I318" s="208">
        <f t="shared" si="183"/>
        <v>0</v>
      </c>
      <c r="J318" s="208">
        <f t="shared" si="184"/>
        <v>0</v>
      </c>
      <c r="K318" s="208">
        <f t="shared" si="185"/>
        <v>0</v>
      </c>
      <c r="L318" s="208">
        <f t="shared" si="186"/>
        <v>0</v>
      </c>
    </row>
    <row r="319" spans="1:12" ht="39.6" x14ac:dyDescent="0.25">
      <c r="A319" s="351" t="s">
        <v>1156</v>
      </c>
      <c r="B319" s="385"/>
      <c r="C319" s="361"/>
      <c r="D319" s="362" t="s">
        <v>1157</v>
      </c>
      <c r="E319" s="361" t="s">
        <v>217</v>
      </c>
      <c r="F319" s="378">
        <v>2</v>
      </c>
      <c r="G319" s="212"/>
      <c r="H319" s="212"/>
      <c r="I319" s="208">
        <f t="shared" si="183"/>
        <v>0</v>
      </c>
      <c r="J319" s="208">
        <f t="shared" si="184"/>
        <v>0</v>
      </c>
      <c r="K319" s="208">
        <f t="shared" si="185"/>
        <v>0</v>
      </c>
      <c r="L319" s="208">
        <f t="shared" si="186"/>
        <v>0</v>
      </c>
    </row>
    <row r="320" spans="1:12" ht="26.4" x14ac:dyDescent="0.25">
      <c r="A320" s="351" t="s">
        <v>1158</v>
      </c>
      <c r="B320" s="385"/>
      <c r="C320" s="361"/>
      <c r="D320" s="362" t="s">
        <v>1134</v>
      </c>
      <c r="E320" s="361" t="s">
        <v>217</v>
      </c>
      <c r="F320" s="378">
        <v>1</v>
      </c>
      <c r="G320" s="212"/>
      <c r="H320" s="212"/>
      <c r="I320" s="208">
        <f t="shared" si="183"/>
        <v>0</v>
      </c>
      <c r="J320" s="208">
        <f t="shared" si="184"/>
        <v>0</v>
      </c>
      <c r="K320" s="208">
        <f t="shared" si="185"/>
        <v>0</v>
      </c>
      <c r="L320" s="208">
        <f t="shared" si="186"/>
        <v>0</v>
      </c>
    </row>
    <row r="321" spans="1:12" ht="39.6" x14ac:dyDescent="0.25">
      <c r="A321" s="351" t="s">
        <v>1159</v>
      </c>
      <c r="B321" s="385"/>
      <c r="C321" s="361"/>
      <c r="D321" s="362" t="s">
        <v>297</v>
      </c>
      <c r="E321" s="361" t="s">
        <v>217</v>
      </c>
      <c r="F321" s="378">
        <v>8</v>
      </c>
      <c r="G321" s="212"/>
      <c r="H321" s="212"/>
      <c r="I321" s="208">
        <f t="shared" si="183"/>
        <v>0</v>
      </c>
      <c r="J321" s="208">
        <f t="shared" si="184"/>
        <v>0</v>
      </c>
      <c r="K321" s="208">
        <f t="shared" si="185"/>
        <v>0</v>
      </c>
      <c r="L321" s="208">
        <f t="shared" si="186"/>
        <v>0</v>
      </c>
    </row>
    <row r="322" spans="1:12" ht="39.6" x14ac:dyDescent="0.25">
      <c r="A322" s="351" t="s">
        <v>1160</v>
      </c>
      <c r="B322" s="385"/>
      <c r="C322" s="361"/>
      <c r="D322" s="362" t="s">
        <v>1132</v>
      </c>
      <c r="E322" s="361" t="s">
        <v>217</v>
      </c>
      <c r="F322" s="378">
        <v>2</v>
      </c>
      <c r="G322" s="212"/>
      <c r="H322" s="212"/>
      <c r="I322" s="208">
        <f t="shared" si="183"/>
        <v>0</v>
      </c>
      <c r="J322" s="208">
        <f t="shared" si="184"/>
        <v>0</v>
      </c>
      <c r="K322" s="208">
        <f t="shared" si="185"/>
        <v>0</v>
      </c>
      <c r="L322" s="208">
        <f t="shared" si="186"/>
        <v>0</v>
      </c>
    </row>
    <row r="323" spans="1:12" ht="39.6" x14ac:dyDescent="0.25">
      <c r="A323" s="351" t="s">
        <v>1161</v>
      </c>
      <c r="B323" s="385"/>
      <c r="C323" s="361"/>
      <c r="D323" s="362" t="s">
        <v>1162</v>
      </c>
      <c r="E323" s="361" t="s">
        <v>217</v>
      </c>
      <c r="F323" s="378">
        <v>2</v>
      </c>
      <c r="G323" s="212"/>
      <c r="H323" s="212"/>
      <c r="I323" s="208">
        <f t="shared" si="183"/>
        <v>0</v>
      </c>
      <c r="J323" s="208">
        <f t="shared" si="184"/>
        <v>0</v>
      </c>
      <c r="K323" s="208">
        <f t="shared" si="185"/>
        <v>0</v>
      </c>
      <c r="L323" s="208">
        <f t="shared" si="186"/>
        <v>0</v>
      </c>
    </row>
    <row r="324" spans="1:12" ht="26.4" x14ac:dyDescent="0.25">
      <c r="A324" s="351" t="s">
        <v>1163</v>
      </c>
      <c r="B324" s="385"/>
      <c r="C324" s="361"/>
      <c r="D324" s="362" t="s">
        <v>1164</v>
      </c>
      <c r="E324" s="361" t="s">
        <v>217</v>
      </c>
      <c r="F324" s="378">
        <v>4</v>
      </c>
      <c r="G324" s="212"/>
      <c r="H324" s="212"/>
      <c r="I324" s="208">
        <f t="shared" si="183"/>
        <v>0</v>
      </c>
      <c r="J324" s="208">
        <f t="shared" si="184"/>
        <v>0</v>
      </c>
      <c r="K324" s="208">
        <f t="shared" si="185"/>
        <v>0</v>
      </c>
      <c r="L324" s="208">
        <f t="shared" si="186"/>
        <v>0</v>
      </c>
    </row>
    <row r="325" spans="1:12" ht="39.6" x14ac:dyDescent="0.25">
      <c r="A325" s="351" t="s">
        <v>1165</v>
      </c>
      <c r="B325" s="385"/>
      <c r="C325" s="361"/>
      <c r="D325" s="362" t="s">
        <v>1166</v>
      </c>
      <c r="E325" s="361" t="s">
        <v>217</v>
      </c>
      <c r="F325" s="378">
        <v>11</v>
      </c>
      <c r="G325" s="212"/>
      <c r="H325" s="212"/>
      <c r="I325" s="208">
        <f t="shared" si="183"/>
        <v>0</v>
      </c>
      <c r="J325" s="208">
        <f t="shared" si="184"/>
        <v>0</v>
      </c>
      <c r="K325" s="208">
        <f t="shared" si="185"/>
        <v>0</v>
      </c>
      <c r="L325" s="208">
        <f t="shared" si="186"/>
        <v>0</v>
      </c>
    </row>
    <row r="326" spans="1:12" x14ac:dyDescent="0.25">
      <c r="A326" s="351" t="s">
        <v>1167</v>
      </c>
      <c r="B326" s="385"/>
      <c r="C326" s="361"/>
      <c r="D326" s="362" t="s">
        <v>1168</v>
      </c>
      <c r="E326" s="361" t="s">
        <v>217</v>
      </c>
      <c r="F326" s="378">
        <v>2</v>
      </c>
      <c r="G326" s="212"/>
      <c r="H326" s="212"/>
      <c r="I326" s="208">
        <f t="shared" si="183"/>
        <v>0</v>
      </c>
      <c r="J326" s="208">
        <f t="shared" si="184"/>
        <v>0</v>
      </c>
      <c r="K326" s="208">
        <f t="shared" si="185"/>
        <v>0</v>
      </c>
      <c r="L326" s="208">
        <f t="shared" si="186"/>
        <v>0</v>
      </c>
    </row>
    <row r="327" spans="1:12" x14ac:dyDescent="0.25">
      <c r="A327" s="351" t="s">
        <v>1169</v>
      </c>
      <c r="B327" s="385"/>
      <c r="C327" s="361"/>
      <c r="D327" s="362" t="s">
        <v>1170</v>
      </c>
      <c r="E327" s="361" t="s">
        <v>217</v>
      </c>
      <c r="F327" s="378">
        <v>2</v>
      </c>
      <c r="G327" s="212"/>
      <c r="H327" s="212"/>
      <c r="I327" s="208">
        <f t="shared" si="183"/>
        <v>0</v>
      </c>
      <c r="J327" s="208">
        <f t="shared" si="184"/>
        <v>0</v>
      </c>
      <c r="K327" s="208">
        <f t="shared" si="185"/>
        <v>0</v>
      </c>
      <c r="L327" s="208">
        <f t="shared" si="186"/>
        <v>0</v>
      </c>
    </row>
    <row r="328" spans="1:12" x14ac:dyDescent="0.25">
      <c r="A328" s="364"/>
      <c r="B328" s="365"/>
      <c r="C328" s="366"/>
      <c r="D328" s="367" t="s">
        <v>324</v>
      </c>
      <c r="E328" s="368" t="s">
        <v>325</v>
      </c>
      <c r="F328" s="369"/>
      <c r="G328" s="370"/>
      <c r="H328" s="370"/>
      <c r="I328" s="370"/>
      <c r="J328" s="371">
        <f>SUM(J220:J327)</f>
        <v>0</v>
      </c>
      <c r="K328" s="371">
        <f>SUM(K220:K327)</f>
        <v>0</v>
      </c>
      <c r="L328" s="370"/>
    </row>
    <row r="329" spans="1:12" x14ac:dyDescent="0.25">
      <c r="A329" s="372"/>
      <c r="B329" s="373"/>
      <c r="C329" s="373"/>
      <c r="D329" s="372" t="s">
        <v>325</v>
      </c>
      <c r="E329" s="373" t="s">
        <v>325</v>
      </c>
      <c r="F329" s="374"/>
      <c r="G329" s="375"/>
      <c r="H329" s="375"/>
      <c r="I329" s="375"/>
      <c r="J329" s="376"/>
      <c r="K329" s="376">
        <f>SUM(J328:K328)</f>
        <v>0</v>
      </c>
      <c r="L329" s="375"/>
    </row>
    <row r="330" spans="1:12" x14ac:dyDescent="0.25">
      <c r="A330" s="206">
        <v>12</v>
      </c>
      <c r="B330" s="335"/>
      <c r="C330" s="335"/>
      <c r="D330" s="206" t="s">
        <v>172</v>
      </c>
      <c r="E330" s="206"/>
      <c r="F330" s="377"/>
      <c r="G330" s="210"/>
      <c r="H330" s="210"/>
      <c r="I330" s="210"/>
      <c r="J330" s="210"/>
      <c r="K330" s="210"/>
      <c r="L330" s="337">
        <f>L331+L336+L342+L353</f>
        <v>0</v>
      </c>
    </row>
    <row r="331" spans="1:12" s="341" customFormat="1" x14ac:dyDescent="0.25">
      <c r="A331" s="207" t="s">
        <v>173</v>
      </c>
      <c r="B331" s="338"/>
      <c r="C331" s="338"/>
      <c r="D331" s="207" t="s">
        <v>174</v>
      </c>
      <c r="E331" s="207"/>
      <c r="F331" s="326"/>
      <c r="G331" s="209"/>
      <c r="H331" s="209"/>
      <c r="I331" s="209"/>
      <c r="J331" s="209"/>
      <c r="K331" s="209"/>
      <c r="L331" s="340">
        <f>SUM(L332:L335)</f>
        <v>0</v>
      </c>
    </row>
    <row r="332" spans="1:12" s="347" customFormat="1" ht="26.4" x14ac:dyDescent="0.25">
      <c r="A332" s="342" t="s">
        <v>613</v>
      </c>
      <c r="B332" s="343"/>
      <c r="C332" s="344"/>
      <c r="D332" s="342" t="s">
        <v>175</v>
      </c>
      <c r="E332" s="345" t="s">
        <v>217</v>
      </c>
      <c r="F332" s="346">
        <v>4</v>
      </c>
      <c r="G332" s="327"/>
      <c r="H332" s="327"/>
      <c r="I332" s="327">
        <f t="shared" ref="I332:I334" si="187">TRUNC(SUM(G332:H332),2)</f>
        <v>0</v>
      </c>
      <c r="J332" s="327">
        <f t="shared" ref="J332:J334" si="188">TRUNC(F332*G332,2)</f>
        <v>0</v>
      </c>
      <c r="K332" s="327">
        <f t="shared" ref="K332:K334" si="189">TRUNC(F332*H332,2)</f>
        <v>0</v>
      </c>
      <c r="L332" s="327">
        <f t="shared" ref="L332:L334" si="190">TRUNC(SUM(J332,K332),2)</f>
        <v>0</v>
      </c>
    </row>
    <row r="333" spans="1:12" s="347" customFormat="1" ht="26.25" customHeight="1" x14ac:dyDescent="0.25">
      <c r="A333" s="342" t="s">
        <v>614</v>
      </c>
      <c r="B333" s="354"/>
      <c r="C333" s="344"/>
      <c r="D333" s="342" t="s">
        <v>611</v>
      </c>
      <c r="E333" s="345" t="s">
        <v>217</v>
      </c>
      <c r="F333" s="346">
        <v>9</v>
      </c>
      <c r="G333" s="327"/>
      <c r="H333" s="327"/>
      <c r="I333" s="327">
        <f t="shared" si="187"/>
        <v>0</v>
      </c>
      <c r="J333" s="327">
        <f t="shared" si="188"/>
        <v>0</v>
      </c>
      <c r="K333" s="327">
        <f t="shared" si="189"/>
        <v>0</v>
      </c>
      <c r="L333" s="327">
        <f t="shared" si="190"/>
        <v>0</v>
      </c>
    </row>
    <row r="334" spans="1:12" s="347" customFormat="1" ht="26.4" x14ac:dyDescent="0.25">
      <c r="A334" s="342" t="s">
        <v>615</v>
      </c>
      <c r="B334" s="343"/>
      <c r="C334" s="344"/>
      <c r="D334" s="342" t="s">
        <v>176</v>
      </c>
      <c r="E334" s="345" t="s">
        <v>217</v>
      </c>
      <c r="F334" s="346">
        <v>4</v>
      </c>
      <c r="G334" s="327"/>
      <c r="H334" s="327"/>
      <c r="I334" s="327">
        <f t="shared" si="187"/>
        <v>0</v>
      </c>
      <c r="J334" s="327">
        <f t="shared" si="188"/>
        <v>0</v>
      </c>
      <c r="K334" s="327">
        <f t="shared" si="189"/>
        <v>0</v>
      </c>
      <c r="L334" s="327">
        <f t="shared" si="190"/>
        <v>0</v>
      </c>
    </row>
    <row r="335" spans="1:12" s="347" customFormat="1" ht="26.4" x14ac:dyDescent="0.25">
      <c r="A335" s="342" t="s">
        <v>616</v>
      </c>
      <c r="B335" s="361"/>
      <c r="C335" s="361"/>
      <c r="D335" s="362" t="s">
        <v>612</v>
      </c>
      <c r="E335" s="345" t="s">
        <v>217</v>
      </c>
      <c r="F335" s="378">
        <v>2</v>
      </c>
      <c r="G335" s="328"/>
      <c r="H335" s="328"/>
      <c r="I335" s="327">
        <f t="shared" ref="I335" si="191">TRUNC(SUM(G335:H335),2)</f>
        <v>0</v>
      </c>
      <c r="J335" s="327">
        <f t="shared" ref="J335" si="192">TRUNC(F335*G335,2)</f>
        <v>0</v>
      </c>
      <c r="K335" s="327">
        <f t="shared" ref="K335" si="193">TRUNC(F335*H335,2)</f>
        <v>0</v>
      </c>
      <c r="L335" s="327">
        <f t="shared" ref="L335" si="194">TRUNC(SUM(J335,K335),2)</f>
        <v>0</v>
      </c>
    </row>
    <row r="336" spans="1:12" s="341" customFormat="1" x14ac:dyDescent="0.25">
      <c r="A336" s="207" t="s">
        <v>177</v>
      </c>
      <c r="B336" s="338"/>
      <c r="C336" s="338"/>
      <c r="D336" s="207" t="s">
        <v>178</v>
      </c>
      <c r="E336" s="207"/>
      <c r="F336" s="326"/>
      <c r="G336" s="209"/>
      <c r="H336" s="209"/>
      <c r="I336" s="209"/>
      <c r="J336" s="209"/>
      <c r="K336" s="209"/>
      <c r="L336" s="340">
        <f>SUM(L337:L341)</f>
        <v>0</v>
      </c>
    </row>
    <row r="337" spans="1:12" s="347" customFormat="1" ht="26.4" x14ac:dyDescent="0.25">
      <c r="A337" s="342" t="s">
        <v>179</v>
      </c>
      <c r="B337" s="343"/>
      <c r="C337" s="344"/>
      <c r="D337" s="342" t="s">
        <v>303</v>
      </c>
      <c r="E337" s="345" t="s">
        <v>217</v>
      </c>
      <c r="F337" s="346">
        <v>1</v>
      </c>
      <c r="G337" s="327"/>
      <c r="H337" s="327"/>
      <c r="I337" s="327">
        <f t="shared" ref="I337:I341" si="195">TRUNC(SUM(G337:H337),2)</f>
        <v>0</v>
      </c>
      <c r="J337" s="327">
        <f t="shared" ref="J337:J341" si="196">TRUNC(F337*G337,2)</f>
        <v>0</v>
      </c>
      <c r="K337" s="327">
        <f t="shared" ref="K337:K341" si="197">TRUNC(F337*H337,2)</f>
        <v>0</v>
      </c>
      <c r="L337" s="327">
        <f t="shared" ref="L337:L341" si="198">TRUNC(SUM(J337,K337),2)</f>
        <v>0</v>
      </c>
    </row>
    <row r="338" spans="1:12" s="347" customFormat="1" ht="26.4" x14ac:dyDescent="0.25">
      <c r="A338" s="342" t="s">
        <v>181</v>
      </c>
      <c r="B338" s="354"/>
      <c r="C338" s="344"/>
      <c r="D338" s="342" t="s">
        <v>180</v>
      </c>
      <c r="E338" s="345" t="s">
        <v>217</v>
      </c>
      <c r="F338" s="346">
        <v>19</v>
      </c>
      <c r="G338" s="327"/>
      <c r="H338" s="327"/>
      <c r="I338" s="327">
        <f t="shared" si="195"/>
        <v>0</v>
      </c>
      <c r="J338" s="327">
        <f t="shared" si="196"/>
        <v>0</v>
      </c>
      <c r="K338" s="327">
        <f t="shared" si="197"/>
        <v>0</v>
      </c>
      <c r="L338" s="327">
        <f t="shared" si="198"/>
        <v>0</v>
      </c>
    </row>
    <row r="339" spans="1:12" s="347" customFormat="1" ht="27" customHeight="1" x14ac:dyDescent="0.25">
      <c r="A339" s="342" t="s">
        <v>305</v>
      </c>
      <c r="B339" s="385"/>
      <c r="C339" s="361"/>
      <c r="D339" s="362" t="s">
        <v>304</v>
      </c>
      <c r="E339" s="345" t="s">
        <v>217</v>
      </c>
      <c r="F339" s="378">
        <v>10</v>
      </c>
      <c r="G339" s="328"/>
      <c r="H339" s="328"/>
      <c r="I339" s="327">
        <f t="shared" si="195"/>
        <v>0</v>
      </c>
      <c r="J339" s="327">
        <f t="shared" si="196"/>
        <v>0</v>
      </c>
      <c r="K339" s="327">
        <f t="shared" si="197"/>
        <v>0</v>
      </c>
      <c r="L339" s="327">
        <f t="shared" si="198"/>
        <v>0</v>
      </c>
    </row>
    <row r="340" spans="1:12" s="347" customFormat="1" ht="27" customHeight="1" x14ac:dyDescent="0.25">
      <c r="A340" s="342" t="s">
        <v>306</v>
      </c>
      <c r="B340" s="385"/>
      <c r="C340" s="361"/>
      <c r="D340" s="362" t="s">
        <v>617</v>
      </c>
      <c r="E340" s="345" t="s">
        <v>217</v>
      </c>
      <c r="F340" s="378">
        <v>2</v>
      </c>
      <c r="G340" s="328"/>
      <c r="H340" s="328"/>
      <c r="I340" s="327">
        <f t="shared" ref="I340" si="199">TRUNC(SUM(G340:H340),2)</f>
        <v>0</v>
      </c>
      <c r="J340" s="327">
        <f t="shared" ref="J340" si="200">TRUNC(F340*G340,2)</f>
        <v>0</v>
      </c>
      <c r="K340" s="327">
        <f t="shared" ref="K340" si="201">TRUNC(F340*H340,2)</f>
        <v>0</v>
      </c>
      <c r="L340" s="327">
        <f t="shared" ref="L340" si="202">TRUNC(SUM(J340,K340),2)</f>
        <v>0</v>
      </c>
    </row>
    <row r="341" spans="1:12" s="347" customFormat="1" ht="27" customHeight="1" x14ac:dyDescent="0.25">
      <c r="A341" s="342" t="s">
        <v>1172</v>
      </c>
      <c r="B341" s="361"/>
      <c r="C341" s="361"/>
      <c r="D341" s="362" t="s">
        <v>1171</v>
      </c>
      <c r="E341" s="345" t="s">
        <v>217</v>
      </c>
      <c r="F341" s="378">
        <v>11</v>
      </c>
      <c r="G341" s="328"/>
      <c r="H341" s="328"/>
      <c r="I341" s="327">
        <f t="shared" si="195"/>
        <v>0</v>
      </c>
      <c r="J341" s="327">
        <f t="shared" si="196"/>
        <v>0</v>
      </c>
      <c r="K341" s="327">
        <f t="shared" si="197"/>
        <v>0</v>
      </c>
      <c r="L341" s="327">
        <f t="shared" si="198"/>
        <v>0</v>
      </c>
    </row>
    <row r="342" spans="1:12" s="341" customFormat="1" x14ac:dyDescent="0.25">
      <c r="A342" s="207" t="s">
        <v>182</v>
      </c>
      <c r="B342" s="338"/>
      <c r="C342" s="338"/>
      <c r="D342" s="207" t="s">
        <v>183</v>
      </c>
      <c r="E342" s="207"/>
      <c r="F342" s="326"/>
      <c r="G342" s="209"/>
      <c r="H342" s="209"/>
      <c r="I342" s="209"/>
      <c r="J342" s="209"/>
      <c r="K342" s="209"/>
      <c r="L342" s="340">
        <f>SUM(L343:L352)</f>
        <v>0</v>
      </c>
    </row>
    <row r="343" spans="1:12" s="347" customFormat="1" ht="26.4" x14ac:dyDescent="0.25">
      <c r="A343" s="342" t="s">
        <v>184</v>
      </c>
      <c r="B343" s="343"/>
      <c r="C343" s="344"/>
      <c r="D343" s="342" t="s">
        <v>185</v>
      </c>
      <c r="E343" s="345" t="s">
        <v>217</v>
      </c>
      <c r="F343" s="346">
        <v>4</v>
      </c>
      <c r="G343" s="327"/>
      <c r="H343" s="327"/>
      <c r="I343" s="327">
        <f t="shared" ref="I343:I352" si="203">TRUNC(SUM(G343:H343),2)</f>
        <v>0</v>
      </c>
      <c r="J343" s="327">
        <f t="shared" ref="J343:J352" si="204">TRUNC(F343*G343,2)</f>
        <v>0</v>
      </c>
      <c r="K343" s="327">
        <f t="shared" ref="K343:K352" si="205">TRUNC(F343*H343,2)</f>
        <v>0</v>
      </c>
      <c r="L343" s="327">
        <f t="shared" ref="L343:L352" si="206">TRUNC(SUM(J343,K343),2)</f>
        <v>0</v>
      </c>
    </row>
    <row r="344" spans="1:12" s="347" customFormat="1" x14ac:dyDescent="0.25">
      <c r="A344" s="342" t="s">
        <v>186</v>
      </c>
      <c r="B344" s="354"/>
      <c r="C344" s="344"/>
      <c r="D344" s="342" t="s">
        <v>187</v>
      </c>
      <c r="E344" s="345" t="s">
        <v>217</v>
      </c>
      <c r="F344" s="346">
        <v>4</v>
      </c>
      <c r="G344" s="327"/>
      <c r="H344" s="327"/>
      <c r="I344" s="327">
        <f t="shared" si="203"/>
        <v>0</v>
      </c>
      <c r="J344" s="327">
        <f t="shared" si="204"/>
        <v>0</v>
      </c>
      <c r="K344" s="327">
        <f t="shared" si="205"/>
        <v>0</v>
      </c>
      <c r="L344" s="327">
        <f t="shared" si="206"/>
        <v>0</v>
      </c>
    </row>
    <row r="345" spans="1:12" s="347" customFormat="1" ht="26.4" x14ac:dyDescent="0.25">
      <c r="A345" s="342" t="s">
        <v>188</v>
      </c>
      <c r="B345" s="354"/>
      <c r="C345" s="344"/>
      <c r="D345" s="342" t="s">
        <v>189</v>
      </c>
      <c r="E345" s="345" t="s">
        <v>217</v>
      </c>
      <c r="F345" s="346">
        <v>13</v>
      </c>
      <c r="G345" s="327"/>
      <c r="H345" s="327"/>
      <c r="I345" s="327">
        <f t="shared" si="203"/>
        <v>0</v>
      </c>
      <c r="J345" s="327">
        <f t="shared" si="204"/>
        <v>0</v>
      </c>
      <c r="K345" s="327">
        <f t="shared" si="205"/>
        <v>0</v>
      </c>
      <c r="L345" s="327">
        <f t="shared" si="206"/>
        <v>0</v>
      </c>
    </row>
    <row r="346" spans="1:12" s="347" customFormat="1" ht="26.4" x14ac:dyDescent="0.25">
      <c r="A346" s="342" t="s">
        <v>190</v>
      </c>
      <c r="B346" s="343"/>
      <c r="C346" s="344"/>
      <c r="D346" s="342" t="s">
        <v>191</v>
      </c>
      <c r="E346" s="345" t="s">
        <v>217</v>
      </c>
      <c r="F346" s="346">
        <v>13</v>
      </c>
      <c r="G346" s="327"/>
      <c r="H346" s="327"/>
      <c r="I346" s="327">
        <f t="shared" si="203"/>
        <v>0</v>
      </c>
      <c r="J346" s="327">
        <f t="shared" si="204"/>
        <v>0</v>
      </c>
      <c r="K346" s="327">
        <f t="shared" si="205"/>
        <v>0</v>
      </c>
      <c r="L346" s="327">
        <f t="shared" si="206"/>
        <v>0</v>
      </c>
    </row>
    <row r="347" spans="1:12" s="347" customFormat="1" ht="26.4" x14ac:dyDescent="0.25">
      <c r="A347" s="342" t="s">
        <v>308</v>
      </c>
      <c r="B347" s="343"/>
      <c r="C347" s="344"/>
      <c r="D347" s="342" t="s">
        <v>562</v>
      </c>
      <c r="E347" s="345" t="s">
        <v>217</v>
      </c>
      <c r="F347" s="346">
        <v>25</v>
      </c>
      <c r="G347" s="327"/>
      <c r="H347" s="327"/>
      <c r="I347" s="327">
        <f t="shared" si="203"/>
        <v>0</v>
      </c>
      <c r="J347" s="327">
        <f t="shared" si="204"/>
        <v>0</v>
      </c>
      <c r="K347" s="327">
        <f t="shared" si="205"/>
        <v>0</v>
      </c>
      <c r="L347" s="327">
        <f t="shared" si="206"/>
        <v>0</v>
      </c>
    </row>
    <row r="348" spans="1:12" s="347" customFormat="1" ht="26.4" x14ac:dyDescent="0.25">
      <c r="A348" s="342" t="s">
        <v>309</v>
      </c>
      <c r="B348" s="385"/>
      <c r="C348" s="361"/>
      <c r="D348" s="362" t="s">
        <v>563</v>
      </c>
      <c r="E348" s="345" t="s">
        <v>217</v>
      </c>
      <c r="F348" s="378">
        <v>27</v>
      </c>
      <c r="G348" s="328"/>
      <c r="H348" s="328"/>
      <c r="I348" s="327">
        <f t="shared" ref="I348" si="207">TRUNC(SUM(G348:H348),2)</f>
        <v>0</v>
      </c>
      <c r="J348" s="327">
        <f t="shared" si="204"/>
        <v>0</v>
      </c>
      <c r="K348" s="327">
        <f t="shared" si="205"/>
        <v>0</v>
      </c>
      <c r="L348" s="327">
        <f t="shared" si="206"/>
        <v>0</v>
      </c>
    </row>
    <row r="349" spans="1:12" s="347" customFormat="1" ht="26.4" x14ac:dyDescent="0.25">
      <c r="A349" s="342" t="s">
        <v>310</v>
      </c>
      <c r="B349" s="343"/>
      <c r="C349" s="344"/>
      <c r="D349" s="342" t="s">
        <v>307</v>
      </c>
      <c r="E349" s="345" t="s">
        <v>217</v>
      </c>
      <c r="F349" s="346">
        <v>2</v>
      </c>
      <c r="G349" s="327"/>
      <c r="H349" s="327"/>
      <c r="I349" s="327">
        <f t="shared" si="203"/>
        <v>0</v>
      </c>
      <c r="J349" s="327">
        <f t="shared" si="204"/>
        <v>0</v>
      </c>
      <c r="K349" s="327">
        <f t="shared" si="205"/>
        <v>0</v>
      </c>
      <c r="L349" s="327">
        <f t="shared" si="206"/>
        <v>0</v>
      </c>
    </row>
    <row r="350" spans="1:12" s="347" customFormat="1" ht="24.75" customHeight="1" x14ac:dyDescent="0.25">
      <c r="A350" s="342" t="s">
        <v>311</v>
      </c>
      <c r="B350" s="343"/>
      <c r="C350" s="344"/>
      <c r="D350" s="342" t="s">
        <v>192</v>
      </c>
      <c r="E350" s="345" t="s">
        <v>217</v>
      </c>
      <c r="F350" s="346">
        <v>14</v>
      </c>
      <c r="G350" s="327"/>
      <c r="H350" s="327"/>
      <c r="I350" s="327">
        <f t="shared" si="203"/>
        <v>0</v>
      </c>
      <c r="J350" s="327">
        <f t="shared" si="204"/>
        <v>0</v>
      </c>
      <c r="K350" s="327">
        <f t="shared" si="205"/>
        <v>0</v>
      </c>
      <c r="L350" s="327">
        <f t="shared" si="206"/>
        <v>0</v>
      </c>
    </row>
    <row r="351" spans="1:12" s="347" customFormat="1" ht="26.4" x14ac:dyDescent="0.25">
      <c r="A351" s="342" t="s">
        <v>312</v>
      </c>
      <c r="B351" s="343"/>
      <c r="C351" s="344"/>
      <c r="D351" s="342" t="s">
        <v>193</v>
      </c>
      <c r="E351" s="345" t="s">
        <v>217</v>
      </c>
      <c r="F351" s="346">
        <v>13</v>
      </c>
      <c r="G351" s="327"/>
      <c r="H351" s="327"/>
      <c r="I351" s="327">
        <f t="shared" si="203"/>
        <v>0</v>
      </c>
      <c r="J351" s="327">
        <f t="shared" si="204"/>
        <v>0</v>
      </c>
      <c r="K351" s="327">
        <f t="shared" si="205"/>
        <v>0</v>
      </c>
      <c r="L351" s="327">
        <f t="shared" si="206"/>
        <v>0</v>
      </c>
    </row>
    <row r="352" spans="1:12" s="347" customFormat="1" ht="26.4" x14ac:dyDescent="0.25">
      <c r="A352" s="342" t="s">
        <v>313</v>
      </c>
      <c r="B352" s="354"/>
      <c r="C352" s="344"/>
      <c r="D352" s="342" t="s">
        <v>194</v>
      </c>
      <c r="E352" s="345" t="s">
        <v>17</v>
      </c>
      <c r="F352" s="346">
        <v>1.92</v>
      </c>
      <c r="G352" s="327"/>
      <c r="H352" s="327"/>
      <c r="I352" s="327">
        <f t="shared" si="203"/>
        <v>0</v>
      </c>
      <c r="J352" s="327">
        <f t="shared" si="204"/>
        <v>0</v>
      </c>
      <c r="K352" s="327">
        <f t="shared" si="205"/>
        <v>0</v>
      </c>
      <c r="L352" s="327">
        <f t="shared" si="206"/>
        <v>0</v>
      </c>
    </row>
    <row r="353" spans="1:12" s="341" customFormat="1" x14ac:dyDescent="0.25">
      <c r="A353" s="207" t="s">
        <v>195</v>
      </c>
      <c r="B353" s="338"/>
      <c r="C353" s="338"/>
      <c r="D353" s="207" t="s">
        <v>196</v>
      </c>
      <c r="E353" s="207"/>
      <c r="F353" s="326"/>
      <c r="G353" s="209"/>
      <c r="H353" s="209"/>
      <c r="I353" s="209"/>
      <c r="J353" s="209"/>
      <c r="K353" s="209"/>
      <c r="L353" s="340">
        <f>SUM(L354:L355)</f>
        <v>0</v>
      </c>
    </row>
    <row r="354" spans="1:12" s="347" customFormat="1" ht="26.4" x14ac:dyDescent="0.25">
      <c r="A354" s="342" t="s">
        <v>197</v>
      </c>
      <c r="B354" s="354"/>
      <c r="C354" s="344"/>
      <c r="D354" s="342" t="s">
        <v>198</v>
      </c>
      <c r="E354" s="345" t="s">
        <v>17</v>
      </c>
      <c r="F354" s="346">
        <f>2*(0.7*1.2+0.5*0.2)</f>
        <v>1.88</v>
      </c>
      <c r="G354" s="327"/>
      <c r="H354" s="327"/>
      <c r="I354" s="327">
        <f t="shared" ref="I354:I355" si="208">TRUNC(SUM(G354:H354),2)</f>
        <v>0</v>
      </c>
      <c r="J354" s="327">
        <f t="shared" ref="J354:J355" si="209">TRUNC(F354*G354,2)</f>
        <v>0</v>
      </c>
      <c r="K354" s="327">
        <f t="shared" ref="K354:K355" si="210">TRUNC(F354*H354,2)</f>
        <v>0</v>
      </c>
      <c r="L354" s="327">
        <f t="shared" ref="L354:L355" si="211">TRUNC(SUM(J354,K354),2)</f>
        <v>0</v>
      </c>
    </row>
    <row r="355" spans="1:12" s="347" customFormat="1" ht="26.4" x14ac:dyDescent="0.25">
      <c r="A355" s="342" t="s">
        <v>199</v>
      </c>
      <c r="B355" s="343"/>
      <c r="C355" s="344"/>
      <c r="D355" s="342" t="s">
        <v>200</v>
      </c>
      <c r="E355" s="345" t="s">
        <v>217</v>
      </c>
      <c r="F355" s="346">
        <v>4</v>
      </c>
      <c r="G355" s="327"/>
      <c r="H355" s="327"/>
      <c r="I355" s="327">
        <f t="shared" si="208"/>
        <v>0</v>
      </c>
      <c r="J355" s="327">
        <f t="shared" si="209"/>
        <v>0</v>
      </c>
      <c r="K355" s="327">
        <f t="shared" si="210"/>
        <v>0</v>
      </c>
      <c r="L355" s="327">
        <f t="shared" si="211"/>
        <v>0</v>
      </c>
    </row>
    <row r="356" spans="1:12" x14ac:dyDescent="0.25">
      <c r="A356" s="364"/>
      <c r="B356" s="365"/>
      <c r="C356" s="366"/>
      <c r="D356" s="367" t="s">
        <v>324</v>
      </c>
      <c r="E356" s="368" t="s">
        <v>325</v>
      </c>
      <c r="F356" s="369"/>
      <c r="G356" s="370"/>
      <c r="H356" s="370"/>
      <c r="I356" s="370"/>
      <c r="J356" s="371">
        <f>SUM(J332:J355)</f>
        <v>0</v>
      </c>
      <c r="K356" s="371">
        <f>SUM(K332:K355)</f>
        <v>0</v>
      </c>
      <c r="L356" s="370"/>
    </row>
    <row r="357" spans="1:12" x14ac:dyDescent="0.25">
      <c r="A357" s="372"/>
      <c r="B357" s="373"/>
      <c r="C357" s="373"/>
      <c r="D357" s="372" t="s">
        <v>325</v>
      </c>
      <c r="E357" s="373" t="s">
        <v>325</v>
      </c>
      <c r="F357" s="374"/>
      <c r="G357" s="375"/>
      <c r="H357" s="375"/>
      <c r="I357" s="375"/>
      <c r="J357" s="376"/>
      <c r="K357" s="376">
        <f>SUM(J356:K356)</f>
        <v>0</v>
      </c>
      <c r="L357" s="375"/>
    </row>
    <row r="358" spans="1:12" x14ac:dyDescent="0.25">
      <c r="A358" s="206">
        <v>13</v>
      </c>
      <c r="B358" s="335"/>
      <c r="C358" s="335"/>
      <c r="D358" s="206" t="s">
        <v>201</v>
      </c>
      <c r="E358" s="206"/>
      <c r="F358" s="377"/>
      <c r="G358" s="210"/>
      <c r="H358" s="210"/>
      <c r="I358" s="210"/>
      <c r="J358" s="210"/>
      <c r="K358" s="210"/>
      <c r="L358" s="337">
        <f>L359</f>
        <v>0</v>
      </c>
    </row>
    <row r="359" spans="1:12" s="341" customFormat="1" x14ac:dyDescent="0.25">
      <c r="A359" s="207" t="s">
        <v>202</v>
      </c>
      <c r="B359" s="338"/>
      <c r="C359" s="338"/>
      <c r="D359" s="207" t="s">
        <v>203</v>
      </c>
      <c r="E359" s="207"/>
      <c r="F359" s="326"/>
      <c r="G359" s="209"/>
      <c r="H359" s="209"/>
      <c r="I359" s="209"/>
      <c r="J359" s="209"/>
      <c r="K359" s="209"/>
      <c r="L359" s="340">
        <f>SUM(L360:L443)</f>
        <v>0</v>
      </c>
    </row>
    <row r="360" spans="1:12" s="347" customFormat="1" ht="27" customHeight="1" x14ac:dyDescent="0.25">
      <c r="A360" s="342" t="s">
        <v>204</v>
      </c>
      <c r="B360" s="354"/>
      <c r="C360" s="344"/>
      <c r="D360" s="342" t="s">
        <v>658</v>
      </c>
      <c r="E360" s="345" t="s">
        <v>89</v>
      </c>
      <c r="F360" s="346">
        <v>1098.4000000000001</v>
      </c>
      <c r="G360" s="327"/>
      <c r="H360" s="327"/>
      <c r="I360" s="327">
        <f t="shared" ref="I360" si="212">TRUNC(SUM(G360:H360),2)</f>
        <v>0</v>
      </c>
      <c r="J360" s="327">
        <f t="shared" ref="J360" si="213">TRUNC(F360*G360,2)</f>
        <v>0</v>
      </c>
      <c r="K360" s="327">
        <f t="shared" ref="K360" si="214">TRUNC(F360*H360,2)</f>
        <v>0</v>
      </c>
      <c r="L360" s="327">
        <f t="shared" ref="L360" si="215">TRUNC(SUM(J360,K360),2)</f>
        <v>0</v>
      </c>
    </row>
    <row r="361" spans="1:12" s="347" customFormat="1" ht="27" customHeight="1" x14ac:dyDescent="0.25">
      <c r="A361" s="342" t="s">
        <v>564</v>
      </c>
      <c r="B361" s="343"/>
      <c r="C361" s="344"/>
      <c r="D361" s="342" t="s">
        <v>205</v>
      </c>
      <c r="E361" s="345" t="s">
        <v>89</v>
      </c>
      <c r="F361" s="346">
        <v>2818</v>
      </c>
      <c r="G361" s="327"/>
      <c r="H361" s="327"/>
      <c r="I361" s="327">
        <f t="shared" ref="I361" si="216">TRUNC(SUM(G361:H361),2)</f>
        <v>0</v>
      </c>
      <c r="J361" s="327">
        <f t="shared" ref="J361:J426" si="217">TRUNC(F361*G361,2)</f>
        <v>0</v>
      </c>
      <c r="K361" s="327">
        <f t="shared" ref="K361:K426" si="218">TRUNC(F361*H361,2)</f>
        <v>0</v>
      </c>
      <c r="L361" s="327">
        <f t="shared" ref="L361:L426" si="219">TRUNC(SUM(J361,K361),2)</f>
        <v>0</v>
      </c>
    </row>
    <row r="362" spans="1:12" s="347" customFormat="1" ht="27" customHeight="1" x14ac:dyDescent="0.25">
      <c r="A362" s="342" t="s">
        <v>565</v>
      </c>
      <c r="B362" s="361"/>
      <c r="C362" s="361"/>
      <c r="D362" s="342" t="s">
        <v>659</v>
      </c>
      <c r="E362" s="345" t="s">
        <v>89</v>
      </c>
      <c r="F362" s="378">
        <v>645</v>
      </c>
      <c r="G362" s="328"/>
      <c r="H362" s="328"/>
      <c r="I362" s="327">
        <f t="shared" ref="I362:I385" si="220">TRUNC(SUM(G362:H362),2)</f>
        <v>0</v>
      </c>
      <c r="J362" s="327">
        <f t="shared" ref="J362:J374" si="221">TRUNC(F362*G362,2)</f>
        <v>0</v>
      </c>
      <c r="K362" s="327">
        <f t="shared" ref="K362:K374" si="222">TRUNC(F362*H362,2)</f>
        <v>0</v>
      </c>
      <c r="L362" s="327">
        <f t="shared" ref="L362:L374" si="223">TRUNC(SUM(J362,K362),2)</f>
        <v>0</v>
      </c>
    </row>
    <row r="363" spans="1:12" s="347" customFormat="1" ht="27" customHeight="1" x14ac:dyDescent="0.25">
      <c r="A363" s="342" t="s">
        <v>566</v>
      </c>
      <c r="B363" s="361"/>
      <c r="C363" s="361"/>
      <c r="D363" s="362" t="s">
        <v>662</v>
      </c>
      <c r="E363" s="345" t="s">
        <v>89</v>
      </c>
      <c r="F363" s="378">
        <v>321</v>
      </c>
      <c r="G363" s="328"/>
      <c r="H363" s="328"/>
      <c r="I363" s="327">
        <f t="shared" si="220"/>
        <v>0</v>
      </c>
      <c r="J363" s="327">
        <f t="shared" si="221"/>
        <v>0</v>
      </c>
      <c r="K363" s="327">
        <f t="shared" si="222"/>
        <v>0</v>
      </c>
      <c r="L363" s="327">
        <f t="shared" si="223"/>
        <v>0</v>
      </c>
    </row>
    <row r="364" spans="1:12" s="347" customFormat="1" ht="27" customHeight="1" x14ac:dyDescent="0.25">
      <c r="A364" s="342" t="s">
        <v>490</v>
      </c>
      <c r="B364" s="343"/>
      <c r="C364" s="344"/>
      <c r="D364" s="342" t="s">
        <v>206</v>
      </c>
      <c r="E364" s="345" t="s">
        <v>89</v>
      </c>
      <c r="F364" s="346">
        <v>50.4</v>
      </c>
      <c r="G364" s="327"/>
      <c r="H364" s="327"/>
      <c r="I364" s="327">
        <f t="shared" si="220"/>
        <v>0</v>
      </c>
      <c r="J364" s="327">
        <f t="shared" si="221"/>
        <v>0</v>
      </c>
      <c r="K364" s="327">
        <f t="shared" si="222"/>
        <v>0</v>
      </c>
      <c r="L364" s="327">
        <f t="shared" si="223"/>
        <v>0</v>
      </c>
    </row>
    <row r="365" spans="1:12" s="347" customFormat="1" ht="27" customHeight="1" x14ac:dyDescent="0.25">
      <c r="A365" s="342" t="s">
        <v>491</v>
      </c>
      <c r="B365" s="361"/>
      <c r="C365" s="361"/>
      <c r="D365" s="362" t="s">
        <v>660</v>
      </c>
      <c r="E365" s="345" t="s">
        <v>89</v>
      </c>
      <c r="F365" s="378">
        <v>108.9</v>
      </c>
      <c r="G365" s="328"/>
      <c r="H365" s="328"/>
      <c r="I365" s="327">
        <f t="shared" si="220"/>
        <v>0</v>
      </c>
      <c r="J365" s="327">
        <f t="shared" si="221"/>
        <v>0</v>
      </c>
      <c r="K365" s="327">
        <f t="shared" si="222"/>
        <v>0</v>
      </c>
      <c r="L365" s="327">
        <f t="shared" si="223"/>
        <v>0</v>
      </c>
    </row>
    <row r="366" spans="1:12" s="347" customFormat="1" ht="27" customHeight="1" x14ac:dyDescent="0.25">
      <c r="A366" s="342" t="s">
        <v>492</v>
      </c>
      <c r="B366" s="361"/>
      <c r="C366" s="361"/>
      <c r="D366" s="362" t="s">
        <v>663</v>
      </c>
      <c r="E366" s="345" t="s">
        <v>89</v>
      </c>
      <c r="F366" s="378">
        <v>208</v>
      </c>
      <c r="G366" s="328"/>
      <c r="H366" s="328"/>
      <c r="I366" s="327">
        <f t="shared" si="220"/>
        <v>0</v>
      </c>
      <c r="J366" s="327">
        <f t="shared" si="221"/>
        <v>0</v>
      </c>
      <c r="K366" s="327">
        <f t="shared" si="222"/>
        <v>0</v>
      </c>
      <c r="L366" s="327">
        <f t="shared" si="223"/>
        <v>0</v>
      </c>
    </row>
    <row r="367" spans="1:12" s="347" customFormat="1" ht="27" customHeight="1" x14ac:dyDescent="0.25">
      <c r="A367" s="342" t="s">
        <v>493</v>
      </c>
      <c r="B367" s="361"/>
      <c r="C367" s="361"/>
      <c r="D367" s="362" t="s">
        <v>664</v>
      </c>
      <c r="E367" s="345" t="s">
        <v>89</v>
      </c>
      <c r="F367" s="378">
        <v>17.2</v>
      </c>
      <c r="G367" s="328"/>
      <c r="H367" s="328"/>
      <c r="I367" s="327">
        <f t="shared" si="220"/>
        <v>0</v>
      </c>
      <c r="J367" s="327">
        <f t="shared" si="221"/>
        <v>0</v>
      </c>
      <c r="K367" s="327">
        <f t="shared" si="222"/>
        <v>0</v>
      </c>
      <c r="L367" s="327">
        <f t="shared" si="223"/>
        <v>0</v>
      </c>
    </row>
    <row r="368" spans="1:12" s="347" customFormat="1" ht="27" customHeight="1" x14ac:dyDescent="0.25">
      <c r="A368" s="342" t="s">
        <v>494</v>
      </c>
      <c r="B368" s="343"/>
      <c r="C368" s="344"/>
      <c r="D368" s="342" t="s">
        <v>455</v>
      </c>
      <c r="E368" s="345" t="s">
        <v>89</v>
      </c>
      <c r="F368" s="346">
        <v>83</v>
      </c>
      <c r="G368" s="327"/>
      <c r="H368" s="327"/>
      <c r="I368" s="327">
        <f t="shared" si="220"/>
        <v>0</v>
      </c>
      <c r="J368" s="327">
        <f t="shared" si="221"/>
        <v>0</v>
      </c>
      <c r="K368" s="327">
        <f t="shared" si="222"/>
        <v>0</v>
      </c>
      <c r="L368" s="327">
        <f t="shared" si="223"/>
        <v>0</v>
      </c>
    </row>
    <row r="369" spans="1:12" s="347" customFormat="1" ht="27" customHeight="1" x14ac:dyDescent="0.25">
      <c r="A369" s="342" t="s">
        <v>495</v>
      </c>
      <c r="B369" s="361"/>
      <c r="C369" s="361"/>
      <c r="D369" s="362" t="s">
        <v>665</v>
      </c>
      <c r="E369" s="345" t="s">
        <v>89</v>
      </c>
      <c r="F369" s="378">
        <v>57.2</v>
      </c>
      <c r="G369" s="328"/>
      <c r="H369" s="328"/>
      <c r="I369" s="327">
        <f t="shared" si="220"/>
        <v>0</v>
      </c>
      <c r="J369" s="327">
        <f t="shared" si="221"/>
        <v>0</v>
      </c>
      <c r="K369" s="327">
        <f t="shared" si="222"/>
        <v>0</v>
      </c>
      <c r="L369" s="327">
        <f t="shared" si="223"/>
        <v>0</v>
      </c>
    </row>
    <row r="370" spans="1:12" s="347" customFormat="1" ht="39.6" x14ac:dyDescent="0.25">
      <c r="A370" s="342" t="s">
        <v>496</v>
      </c>
      <c r="B370" s="354"/>
      <c r="C370" s="344"/>
      <c r="D370" s="342" t="s">
        <v>661</v>
      </c>
      <c r="E370" s="345" t="s">
        <v>89</v>
      </c>
      <c r="F370" s="346">
        <v>495</v>
      </c>
      <c r="G370" s="327"/>
      <c r="H370" s="327"/>
      <c r="I370" s="327">
        <f t="shared" si="220"/>
        <v>0</v>
      </c>
      <c r="J370" s="327">
        <f t="shared" si="221"/>
        <v>0</v>
      </c>
      <c r="K370" s="327">
        <f t="shared" si="222"/>
        <v>0</v>
      </c>
      <c r="L370" s="327">
        <f t="shared" si="223"/>
        <v>0</v>
      </c>
    </row>
    <row r="371" spans="1:12" s="347" customFormat="1" ht="26.4" x14ac:dyDescent="0.25">
      <c r="A371" s="342" t="s">
        <v>497</v>
      </c>
      <c r="B371" s="361"/>
      <c r="C371" s="361"/>
      <c r="D371" s="362" t="s">
        <v>667</v>
      </c>
      <c r="E371" s="361" t="s">
        <v>217</v>
      </c>
      <c r="F371" s="378">
        <v>5</v>
      </c>
      <c r="G371" s="328"/>
      <c r="H371" s="328"/>
      <c r="I371" s="327">
        <f t="shared" si="220"/>
        <v>0</v>
      </c>
      <c r="J371" s="328">
        <f t="shared" si="221"/>
        <v>0</v>
      </c>
      <c r="K371" s="328">
        <f t="shared" si="222"/>
        <v>0</v>
      </c>
      <c r="L371" s="328">
        <f t="shared" si="223"/>
        <v>0</v>
      </c>
    </row>
    <row r="372" spans="1:12" s="347" customFormat="1" ht="26.4" x14ac:dyDescent="0.25">
      <c r="A372" s="342" t="s">
        <v>498</v>
      </c>
      <c r="B372" s="361"/>
      <c r="C372" s="361"/>
      <c r="D372" s="362" t="s">
        <v>666</v>
      </c>
      <c r="E372" s="361" t="s">
        <v>217</v>
      </c>
      <c r="F372" s="378">
        <v>32</v>
      </c>
      <c r="G372" s="328"/>
      <c r="H372" s="328"/>
      <c r="I372" s="327">
        <f t="shared" si="220"/>
        <v>0</v>
      </c>
      <c r="J372" s="328">
        <f t="shared" si="221"/>
        <v>0</v>
      </c>
      <c r="K372" s="328">
        <f t="shared" si="222"/>
        <v>0</v>
      </c>
      <c r="L372" s="328">
        <f t="shared" si="223"/>
        <v>0</v>
      </c>
    </row>
    <row r="373" spans="1:12" s="347" customFormat="1" ht="26.4" x14ac:dyDescent="0.25">
      <c r="A373" s="342" t="s">
        <v>499</v>
      </c>
      <c r="B373" s="343"/>
      <c r="C373" s="344"/>
      <c r="D373" s="342" t="s">
        <v>207</v>
      </c>
      <c r="E373" s="361" t="s">
        <v>217</v>
      </c>
      <c r="F373" s="346">
        <v>5</v>
      </c>
      <c r="G373" s="327"/>
      <c r="H373" s="327"/>
      <c r="I373" s="327">
        <f t="shared" si="220"/>
        <v>0</v>
      </c>
      <c r="J373" s="327">
        <f t="shared" si="221"/>
        <v>0</v>
      </c>
      <c r="K373" s="327">
        <f t="shared" si="222"/>
        <v>0</v>
      </c>
      <c r="L373" s="327">
        <f t="shared" si="223"/>
        <v>0</v>
      </c>
    </row>
    <row r="374" spans="1:12" s="347" customFormat="1" ht="26.4" x14ac:dyDescent="0.25">
      <c r="A374" s="342" t="s">
        <v>500</v>
      </c>
      <c r="B374" s="361"/>
      <c r="C374" s="361"/>
      <c r="D374" s="362" t="s">
        <v>668</v>
      </c>
      <c r="E374" s="361" t="s">
        <v>217</v>
      </c>
      <c r="F374" s="378">
        <v>2</v>
      </c>
      <c r="G374" s="328"/>
      <c r="H374" s="328"/>
      <c r="I374" s="327">
        <f t="shared" si="220"/>
        <v>0</v>
      </c>
      <c r="J374" s="328">
        <f t="shared" si="221"/>
        <v>0</v>
      </c>
      <c r="K374" s="328">
        <f t="shared" si="222"/>
        <v>0</v>
      </c>
      <c r="L374" s="328">
        <f t="shared" si="223"/>
        <v>0</v>
      </c>
    </row>
    <row r="375" spans="1:12" s="347" customFormat="1" ht="26.4" x14ac:dyDescent="0.25">
      <c r="A375" s="342" t="s">
        <v>501</v>
      </c>
      <c r="B375" s="343"/>
      <c r="C375" s="344"/>
      <c r="D375" s="342" t="s">
        <v>456</v>
      </c>
      <c r="E375" s="361" t="s">
        <v>217</v>
      </c>
      <c r="F375" s="346">
        <v>2</v>
      </c>
      <c r="G375" s="327"/>
      <c r="H375" s="327"/>
      <c r="I375" s="327">
        <f t="shared" si="220"/>
        <v>0</v>
      </c>
      <c r="J375" s="327">
        <f t="shared" si="217"/>
        <v>0</v>
      </c>
      <c r="K375" s="327">
        <f t="shared" si="218"/>
        <v>0</v>
      </c>
      <c r="L375" s="327">
        <f t="shared" si="219"/>
        <v>0</v>
      </c>
    </row>
    <row r="376" spans="1:12" s="347" customFormat="1" ht="26.4" x14ac:dyDescent="0.25">
      <c r="A376" s="342" t="s">
        <v>502</v>
      </c>
      <c r="B376" s="361"/>
      <c r="C376" s="361"/>
      <c r="D376" s="362" t="s">
        <v>670</v>
      </c>
      <c r="E376" s="361" t="s">
        <v>217</v>
      </c>
      <c r="F376" s="378">
        <v>4</v>
      </c>
      <c r="G376" s="328"/>
      <c r="H376" s="328"/>
      <c r="I376" s="327">
        <f t="shared" si="220"/>
        <v>0</v>
      </c>
      <c r="J376" s="328">
        <f t="shared" si="217"/>
        <v>0</v>
      </c>
      <c r="K376" s="328">
        <f t="shared" si="218"/>
        <v>0</v>
      </c>
      <c r="L376" s="328">
        <f t="shared" si="219"/>
        <v>0</v>
      </c>
    </row>
    <row r="377" spans="1:12" s="347" customFormat="1" ht="26.4" x14ac:dyDescent="0.25">
      <c r="A377" s="342" t="s">
        <v>503</v>
      </c>
      <c r="B377" s="361"/>
      <c r="C377" s="361"/>
      <c r="D377" s="362" t="s">
        <v>669</v>
      </c>
      <c r="E377" s="361" t="s">
        <v>217</v>
      </c>
      <c r="F377" s="378">
        <v>5</v>
      </c>
      <c r="G377" s="328"/>
      <c r="H377" s="328"/>
      <c r="I377" s="327">
        <f t="shared" si="220"/>
        <v>0</v>
      </c>
      <c r="J377" s="328">
        <f t="shared" si="217"/>
        <v>0</v>
      </c>
      <c r="K377" s="328">
        <f t="shared" si="218"/>
        <v>0</v>
      </c>
      <c r="L377" s="328">
        <f t="shared" si="219"/>
        <v>0</v>
      </c>
    </row>
    <row r="378" spans="1:12" s="347" customFormat="1" ht="26.4" x14ac:dyDescent="0.25">
      <c r="A378" s="342" t="s">
        <v>504</v>
      </c>
      <c r="B378" s="361"/>
      <c r="C378" s="361"/>
      <c r="D378" s="362" t="s">
        <v>671</v>
      </c>
      <c r="E378" s="361" t="s">
        <v>217</v>
      </c>
      <c r="F378" s="378">
        <v>3</v>
      </c>
      <c r="G378" s="328"/>
      <c r="H378" s="328"/>
      <c r="I378" s="327">
        <f t="shared" si="220"/>
        <v>0</v>
      </c>
      <c r="J378" s="328">
        <f t="shared" si="217"/>
        <v>0</v>
      </c>
      <c r="K378" s="328">
        <f t="shared" si="218"/>
        <v>0</v>
      </c>
      <c r="L378" s="328">
        <f t="shared" si="219"/>
        <v>0</v>
      </c>
    </row>
    <row r="379" spans="1:12" s="347" customFormat="1" ht="26.4" x14ac:dyDescent="0.25">
      <c r="A379" s="342" t="s">
        <v>505</v>
      </c>
      <c r="B379" s="361"/>
      <c r="C379" s="361"/>
      <c r="D379" s="362" t="s">
        <v>672</v>
      </c>
      <c r="E379" s="361" t="s">
        <v>217</v>
      </c>
      <c r="F379" s="378">
        <v>1</v>
      </c>
      <c r="G379" s="328"/>
      <c r="H379" s="328"/>
      <c r="I379" s="327">
        <f t="shared" si="220"/>
        <v>0</v>
      </c>
      <c r="J379" s="328">
        <f t="shared" si="217"/>
        <v>0</v>
      </c>
      <c r="K379" s="328">
        <f t="shared" si="218"/>
        <v>0</v>
      </c>
      <c r="L379" s="328">
        <f t="shared" si="219"/>
        <v>0</v>
      </c>
    </row>
    <row r="380" spans="1:12" s="347" customFormat="1" ht="26.4" x14ac:dyDescent="0.25">
      <c r="A380" s="342" t="s">
        <v>506</v>
      </c>
      <c r="B380" s="361"/>
      <c r="C380" s="361"/>
      <c r="D380" s="362" t="s">
        <v>673</v>
      </c>
      <c r="E380" s="361" t="s">
        <v>217</v>
      </c>
      <c r="F380" s="378">
        <v>2</v>
      </c>
      <c r="G380" s="328"/>
      <c r="H380" s="328"/>
      <c r="I380" s="327">
        <f t="shared" si="220"/>
        <v>0</v>
      </c>
      <c r="J380" s="328">
        <f t="shared" si="217"/>
        <v>0</v>
      </c>
      <c r="K380" s="328">
        <f t="shared" si="218"/>
        <v>0</v>
      </c>
      <c r="L380" s="328">
        <f t="shared" si="219"/>
        <v>0</v>
      </c>
    </row>
    <row r="381" spans="1:12" s="347" customFormat="1" ht="26.4" x14ac:dyDescent="0.25">
      <c r="A381" s="342" t="s">
        <v>507</v>
      </c>
      <c r="B381" s="361"/>
      <c r="C381" s="361"/>
      <c r="D381" s="362" t="s">
        <v>674</v>
      </c>
      <c r="E381" s="361" t="s">
        <v>217</v>
      </c>
      <c r="F381" s="378">
        <v>2</v>
      </c>
      <c r="G381" s="328"/>
      <c r="H381" s="328"/>
      <c r="I381" s="327">
        <f t="shared" si="220"/>
        <v>0</v>
      </c>
      <c r="J381" s="328">
        <f t="shared" si="217"/>
        <v>0</v>
      </c>
      <c r="K381" s="328">
        <f t="shared" si="218"/>
        <v>0</v>
      </c>
      <c r="L381" s="328">
        <f t="shared" si="219"/>
        <v>0</v>
      </c>
    </row>
    <row r="382" spans="1:12" s="347" customFormat="1" ht="26.4" x14ac:dyDescent="0.25">
      <c r="A382" s="342" t="s">
        <v>508</v>
      </c>
      <c r="B382" s="354"/>
      <c r="C382" s="344"/>
      <c r="D382" s="342" t="s">
        <v>675</v>
      </c>
      <c r="E382" s="361" t="s">
        <v>217</v>
      </c>
      <c r="F382" s="346">
        <v>2</v>
      </c>
      <c r="G382" s="327"/>
      <c r="H382" s="327"/>
      <c r="I382" s="327">
        <f t="shared" si="220"/>
        <v>0</v>
      </c>
      <c r="J382" s="327">
        <f t="shared" si="217"/>
        <v>0</v>
      </c>
      <c r="K382" s="327">
        <f t="shared" si="218"/>
        <v>0</v>
      </c>
      <c r="L382" s="327">
        <f t="shared" si="219"/>
        <v>0</v>
      </c>
    </row>
    <row r="383" spans="1:12" s="347" customFormat="1" ht="26.4" x14ac:dyDescent="0.25">
      <c r="A383" s="342" t="s">
        <v>509</v>
      </c>
      <c r="B383" s="354"/>
      <c r="C383" s="361"/>
      <c r="D383" s="362" t="s">
        <v>676</v>
      </c>
      <c r="E383" s="361" t="s">
        <v>217</v>
      </c>
      <c r="F383" s="378">
        <v>1</v>
      </c>
      <c r="G383" s="328"/>
      <c r="H383" s="328"/>
      <c r="I383" s="327">
        <f t="shared" si="220"/>
        <v>0</v>
      </c>
      <c r="J383" s="328">
        <f t="shared" si="217"/>
        <v>0</v>
      </c>
      <c r="K383" s="328">
        <f t="shared" si="218"/>
        <v>0</v>
      </c>
      <c r="L383" s="328">
        <f t="shared" si="219"/>
        <v>0</v>
      </c>
    </row>
    <row r="384" spans="1:12" s="347" customFormat="1" ht="27" customHeight="1" x14ac:dyDescent="0.25">
      <c r="A384" s="342" t="s">
        <v>510</v>
      </c>
      <c r="B384" s="354"/>
      <c r="C384" s="344"/>
      <c r="D384" s="342" t="s">
        <v>208</v>
      </c>
      <c r="E384" s="361" t="s">
        <v>217</v>
      </c>
      <c r="F384" s="346">
        <v>3</v>
      </c>
      <c r="G384" s="327"/>
      <c r="H384" s="327"/>
      <c r="I384" s="327">
        <f t="shared" si="220"/>
        <v>0</v>
      </c>
      <c r="J384" s="327">
        <f t="shared" si="217"/>
        <v>0</v>
      </c>
      <c r="K384" s="327">
        <f t="shared" si="218"/>
        <v>0</v>
      </c>
      <c r="L384" s="327">
        <f t="shared" si="219"/>
        <v>0</v>
      </c>
    </row>
    <row r="385" spans="1:12" s="347" customFormat="1" ht="27" customHeight="1" x14ac:dyDescent="0.25">
      <c r="A385" s="342" t="s">
        <v>511</v>
      </c>
      <c r="B385" s="361"/>
      <c r="C385" s="361"/>
      <c r="D385" s="362" t="s">
        <v>677</v>
      </c>
      <c r="E385" s="361" t="s">
        <v>217</v>
      </c>
      <c r="F385" s="378">
        <v>2</v>
      </c>
      <c r="G385" s="328"/>
      <c r="H385" s="328"/>
      <c r="I385" s="327">
        <f t="shared" si="220"/>
        <v>0</v>
      </c>
      <c r="J385" s="328">
        <f t="shared" si="217"/>
        <v>0</v>
      </c>
      <c r="K385" s="328">
        <f t="shared" si="218"/>
        <v>0</v>
      </c>
      <c r="L385" s="328">
        <f t="shared" si="219"/>
        <v>0</v>
      </c>
    </row>
    <row r="386" spans="1:12" s="347" customFormat="1" ht="26.4" x14ac:dyDescent="0.25">
      <c r="A386" s="342" t="s">
        <v>512</v>
      </c>
      <c r="B386" s="354"/>
      <c r="C386" s="344"/>
      <c r="D386" s="342" t="s">
        <v>678</v>
      </c>
      <c r="E386" s="361" t="s">
        <v>217</v>
      </c>
      <c r="F386" s="346">
        <v>6</v>
      </c>
      <c r="G386" s="327"/>
      <c r="H386" s="327"/>
      <c r="I386" s="327">
        <f t="shared" ref="I386:I426" si="224">TRUNC(SUM(G386:H386),2)</f>
        <v>0</v>
      </c>
      <c r="J386" s="327">
        <f t="shared" si="217"/>
        <v>0</v>
      </c>
      <c r="K386" s="327">
        <f t="shared" si="218"/>
        <v>0</v>
      </c>
      <c r="L386" s="327">
        <f t="shared" si="219"/>
        <v>0</v>
      </c>
    </row>
    <row r="387" spans="1:12" s="347" customFormat="1" ht="39.6" x14ac:dyDescent="0.25">
      <c r="A387" s="342" t="s">
        <v>513</v>
      </c>
      <c r="B387" s="343"/>
      <c r="C387" s="344"/>
      <c r="D387" s="342" t="s">
        <v>209</v>
      </c>
      <c r="E387" s="345" t="s">
        <v>89</v>
      </c>
      <c r="F387" s="346">
        <v>320.7</v>
      </c>
      <c r="G387" s="327"/>
      <c r="H387" s="327"/>
      <c r="I387" s="327">
        <f t="shared" si="224"/>
        <v>0</v>
      </c>
      <c r="J387" s="327">
        <f t="shared" si="217"/>
        <v>0</v>
      </c>
      <c r="K387" s="327">
        <f t="shared" si="218"/>
        <v>0</v>
      </c>
      <c r="L387" s="327">
        <f t="shared" si="219"/>
        <v>0</v>
      </c>
    </row>
    <row r="388" spans="1:12" s="347" customFormat="1" ht="39.6" x14ac:dyDescent="0.25">
      <c r="A388" s="342" t="s">
        <v>514</v>
      </c>
      <c r="B388" s="354"/>
      <c r="C388" s="344"/>
      <c r="D388" s="342" t="s">
        <v>679</v>
      </c>
      <c r="E388" s="345" t="s">
        <v>89</v>
      </c>
      <c r="F388" s="346">
        <v>20</v>
      </c>
      <c r="G388" s="327"/>
      <c r="H388" s="327"/>
      <c r="I388" s="327">
        <f t="shared" si="224"/>
        <v>0</v>
      </c>
      <c r="J388" s="327">
        <f t="shared" si="217"/>
        <v>0</v>
      </c>
      <c r="K388" s="327">
        <f t="shared" si="218"/>
        <v>0</v>
      </c>
      <c r="L388" s="327">
        <f t="shared" si="219"/>
        <v>0</v>
      </c>
    </row>
    <row r="389" spans="1:12" s="347" customFormat="1" ht="39.6" x14ac:dyDescent="0.25">
      <c r="A389" s="342" t="s">
        <v>515</v>
      </c>
      <c r="B389" s="354"/>
      <c r="C389" s="344"/>
      <c r="D389" s="342" t="s">
        <v>680</v>
      </c>
      <c r="E389" s="345" t="s">
        <v>89</v>
      </c>
      <c r="F389" s="346">
        <v>12.7</v>
      </c>
      <c r="G389" s="327"/>
      <c r="H389" s="327"/>
      <c r="I389" s="327">
        <f>TRUNC(SUM(G389:H389),2)</f>
        <v>0</v>
      </c>
      <c r="J389" s="327">
        <f>TRUNC(F389*G389,2)</f>
        <v>0</v>
      </c>
      <c r="K389" s="327">
        <f>TRUNC(F389*H389,2)</f>
        <v>0</v>
      </c>
      <c r="L389" s="327">
        <f>TRUNC(SUM(J389,K389),2)</f>
        <v>0</v>
      </c>
    </row>
    <row r="390" spans="1:12" s="347" customFormat="1" ht="39.6" x14ac:dyDescent="0.25">
      <c r="A390" s="342" t="s">
        <v>516</v>
      </c>
      <c r="B390" s="361"/>
      <c r="C390" s="361"/>
      <c r="D390" s="362" t="s">
        <v>846</v>
      </c>
      <c r="E390" s="361" t="s">
        <v>89</v>
      </c>
      <c r="F390" s="378">
        <v>10</v>
      </c>
      <c r="G390" s="328"/>
      <c r="H390" s="328"/>
      <c r="I390" s="327">
        <f>TRUNC(SUM(G390:H390),2)</f>
        <v>0</v>
      </c>
      <c r="J390" s="328">
        <f>TRUNC(F390*G390,2)</f>
        <v>0</v>
      </c>
      <c r="K390" s="328">
        <f>TRUNC(F390*H390,2)</f>
        <v>0</v>
      </c>
      <c r="L390" s="328">
        <f>TRUNC(SUM(J390,K390),2)</f>
        <v>0</v>
      </c>
    </row>
    <row r="391" spans="1:12" s="347" customFormat="1" ht="39.6" x14ac:dyDescent="0.25">
      <c r="A391" s="342" t="s">
        <v>517</v>
      </c>
      <c r="B391" s="343"/>
      <c r="C391" s="344"/>
      <c r="D391" s="342" t="s">
        <v>457</v>
      </c>
      <c r="E391" s="345" t="s">
        <v>89</v>
      </c>
      <c r="F391" s="346">
        <v>110</v>
      </c>
      <c r="G391" s="327"/>
      <c r="H391" s="327"/>
      <c r="I391" s="327">
        <f t="shared" si="224"/>
        <v>0</v>
      </c>
      <c r="J391" s="327">
        <f t="shared" si="217"/>
        <v>0</v>
      </c>
      <c r="K391" s="327">
        <f t="shared" si="218"/>
        <v>0</v>
      </c>
      <c r="L391" s="327">
        <f t="shared" si="219"/>
        <v>0</v>
      </c>
    </row>
    <row r="392" spans="1:12" s="347" customFormat="1" ht="39.6" x14ac:dyDescent="0.25">
      <c r="A392" s="342" t="s">
        <v>518</v>
      </c>
      <c r="B392" s="343"/>
      <c r="C392" s="344"/>
      <c r="D392" s="342" t="s">
        <v>458</v>
      </c>
      <c r="E392" s="345" t="s">
        <v>89</v>
      </c>
      <c r="F392" s="346">
        <v>225</v>
      </c>
      <c r="G392" s="327"/>
      <c r="H392" s="327"/>
      <c r="I392" s="327">
        <f t="shared" si="224"/>
        <v>0</v>
      </c>
      <c r="J392" s="327">
        <f t="shared" si="217"/>
        <v>0</v>
      </c>
      <c r="K392" s="327">
        <f t="shared" si="218"/>
        <v>0</v>
      </c>
      <c r="L392" s="327">
        <f t="shared" si="219"/>
        <v>0</v>
      </c>
    </row>
    <row r="393" spans="1:12" s="347" customFormat="1" ht="39.6" x14ac:dyDescent="0.25">
      <c r="A393" s="342" t="s">
        <v>519</v>
      </c>
      <c r="B393" s="343"/>
      <c r="C393" s="344"/>
      <c r="D393" s="342" t="s">
        <v>459</v>
      </c>
      <c r="E393" s="345" t="s">
        <v>89</v>
      </c>
      <c r="F393" s="346">
        <v>135</v>
      </c>
      <c r="G393" s="327"/>
      <c r="H393" s="327"/>
      <c r="I393" s="327">
        <f t="shared" si="224"/>
        <v>0</v>
      </c>
      <c r="J393" s="327">
        <f t="shared" si="217"/>
        <v>0</v>
      </c>
      <c r="K393" s="327">
        <f t="shared" si="218"/>
        <v>0</v>
      </c>
      <c r="L393" s="327">
        <f t="shared" si="219"/>
        <v>0</v>
      </c>
    </row>
    <row r="394" spans="1:12" s="347" customFormat="1" ht="39.6" x14ac:dyDescent="0.25">
      <c r="A394" s="342" t="s">
        <v>520</v>
      </c>
      <c r="B394" s="343"/>
      <c r="C394" s="344"/>
      <c r="D394" s="342" t="s">
        <v>681</v>
      </c>
      <c r="E394" s="345" t="s">
        <v>89</v>
      </c>
      <c r="F394" s="346">
        <v>12</v>
      </c>
      <c r="G394" s="327"/>
      <c r="H394" s="327"/>
      <c r="I394" s="327">
        <f t="shared" si="224"/>
        <v>0</v>
      </c>
      <c r="J394" s="327">
        <f t="shared" si="217"/>
        <v>0</v>
      </c>
      <c r="K394" s="327">
        <f t="shared" si="218"/>
        <v>0</v>
      </c>
      <c r="L394" s="327">
        <f t="shared" si="219"/>
        <v>0</v>
      </c>
    </row>
    <row r="395" spans="1:12" s="347" customFormat="1" ht="28.5" customHeight="1" x14ac:dyDescent="0.25">
      <c r="A395" s="342" t="s">
        <v>521</v>
      </c>
      <c r="B395" s="361"/>
      <c r="C395" s="361"/>
      <c r="D395" s="362" t="s">
        <v>988</v>
      </c>
      <c r="E395" s="361" t="s">
        <v>89</v>
      </c>
      <c r="F395" s="378">
        <v>30.3</v>
      </c>
      <c r="G395" s="328"/>
      <c r="H395" s="328"/>
      <c r="I395" s="327">
        <f t="shared" ref="I395:I404" si="225">TRUNC(SUM(G395:H395),2)</f>
        <v>0</v>
      </c>
      <c r="J395" s="327">
        <f t="shared" ref="J395:J404" si="226">TRUNC(F395*G395,2)</f>
        <v>0</v>
      </c>
      <c r="K395" s="327">
        <f t="shared" ref="K395:K404" si="227">TRUNC(F395*H395,2)</f>
        <v>0</v>
      </c>
      <c r="L395" s="327">
        <f t="shared" ref="L395:L404" si="228">TRUNC(SUM(J395,K395),2)</f>
        <v>0</v>
      </c>
    </row>
    <row r="396" spans="1:12" s="347" customFormat="1" ht="28.5" customHeight="1" x14ac:dyDescent="0.25">
      <c r="A396" s="342" t="s">
        <v>522</v>
      </c>
      <c r="B396" s="361"/>
      <c r="C396" s="361"/>
      <c r="D396" s="362" t="s">
        <v>1173</v>
      </c>
      <c r="E396" s="361" t="s">
        <v>89</v>
      </c>
      <c r="F396" s="378">
        <v>9.5</v>
      </c>
      <c r="G396" s="328"/>
      <c r="H396" s="328"/>
      <c r="I396" s="327">
        <f t="shared" si="225"/>
        <v>0</v>
      </c>
      <c r="J396" s="327">
        <f t="shared" si="226"/>
        <v>0</v>
      </c>
      <c r="K396" s="327">
        <f t="shared" si="227"/>
        <v>0</v>
      </c>
      <c r="L396" s="327">
        <f t="shared" si="228"/>
        <v>0</v>
      </c>
    </row>
    <row r="397" spans="1:12" s="347" customFormat="1" ht="39.6" x14ac:dyDescent="0.25">
      <c r="A397" s="342" t="s">
        <v>523</v>
      </c>
      <c r="B397" s="343"/>
      <c r="C397" s="344"/>
      <c r="D397" s="342" t="s">
        <v>210</v>
      </c>
      <c r="E397" s="345" t="s">
        <v>217</v>
      </c>
      <c r="F397" s="346">
        <v>48</v>
      </c>
      <c r="G397" s="327"/>
      <c r="H397" s="327"/>
      <c r="I397" s="327">
        <f t="shared" si="225"/>
        <v>0</v>
      </c>
      <c r="J397" s="327">
        <f t="shared" si="226"/>
        <v>0</v>
      </c>
      <c r="K397" s="327">
        <f t="shared" si="227"/>
        <v>0</v>
      </c>
      <c r="L397" s="327">
        <f t="shared" si="228"/>
        <v>0</v>
      </c>
    </row>
    <row r="398" spans="1:12" s="347" customFormat="1" ht="39.6" x14ac:dyDescent="0.25">
      <c r="A398" s="342" t="s">
        <v>524</v>
      </c>
      <c r="B398" s="343"/>
      <c r="C398" s="344"/>
      <c r="D398" s="342" t="s">
        <v>460</v>
      </c>
      <c r="E398" s="345" t="s">
        <v>217</v>
      </c>
      <c r="F398" s="346">
        <v>5</v>
      </c>
      <c r="G398" s="327"/>
      <c r="H398" s="327"/>
      <c r="I398" s="327">
        <f t="shared" si="225"/>
        <v>0</v>
      </c>
      <c r="J398" s="327">
        <f t="shared" si="226"/>
        <v>0</v>
      </c>
      <c r="K398" s="327">
        <f t="shared" si="227"/>
        <v>0</v>
      </c>
      <c r="L398" s="327">
        <f t="shared" si="228"/>
        <v>0</v>
      </c>
    </row>
    <row r="399" spans="1:12" s="347" customFormat="1" ht="39.6" x14ac:dyDescent="0.25">
      <c r="A399" s="342" t="s">
        <v>525</v>
      </c>
      <c r="B399" s="343"/>
      <c r="C399" s="344"/>
      <c r="D399" s="342" t="s">
        <v>461</v>
      </c>
      <c r="E399" s="345" t="s">
        <v>217</v>
      </c>
      <c r="F399" s="346">
        <v>11</v>
      </c>
      <c r="G399" s="327"/>
      <c r="H399" s="327"/>
      <c r="I399" s="327">
        <f t="shared" si="225"/>
        <v>0</v>
      </c>
      <c r="J399" s="327">
        <f t="shared" si="226"/>
        <v>0</v>
      </c>
      <c r="K399" s="327">
        <f t="shared" si="227"/>
        <v>0</v>
      </c>
      <c r="L399" s="327">
        <f t="shared" si="228"/>
        <v>0</v>
      </c>
    </row>
    <row r="400" spans="1:12" s="347" customFormat="1" ht="26.4" x14ac:dyDescent="0.25">
      <c r="A400" s="342" t="s">
        <v>526</v>
      </c>
      <c r="B400" s="361"/>
      <c r="C400" s="361"/>
      <c r="D400" s="362" t="s">
        <v>683</v>
      </c>
      <c r="E400" s="345" t="s">
        <v>217</v>
      </c>
      <c r="F400" s="378">
        <v>10</v>
      </c>
      <c r="G400" s="328"/>
      <c r="H400" s="328"/>
      <c r="I400" s="327">
        <f t="shared" si="225"/>
        <v>0</v>
      </c>
      <c r="J400" s="327">
        <f t="shared" si="226"/>
        <v>0</v>
      </c>
      <c r="K400" s="327">
        <f t="shared" si="227"/>
        <v>0</v>
      </c>
      <c r="L400" s="327">
        <f t="shared" si="228"/>
        <v>0</v>
      </c>
    </row>
    <row r="401" spans="1:12" s="347" customFormat="1" ht="39.6" x14ac:dyDescent="0.25">
      <c r="A401" s="342" t="s">
        <v>527</v>
      </c>
      <c r="B401" s="361"/>
      <c r="C401" s="361"/>
      <c r="D401" s="362" t="s">
        <v>1174</v>
      </c>
      <c r="E401" s="345" t="s">
        <v>217</v>
      </c>
      <c r="F401" s="378">
        <v>1</v>
      </c>
      <c r="G401" s="328"/>
      <c r="H401" s="328"/>
      <c r="I401" s="327">
        <f t="shared" si="225"/>
        <v>0</v>
      </c>
      <c r="J401" s="327">
        <f t="shared" si="226"/>
        <v>0</v>
      </c>
      <c r="K401" s="327">
        <f t="shared" si="227"/>
        <v>0</v>
      </c>
      <c r="L401" s="327">
        <f t="shared" si="228"/>
        <v>0</v>
      </c>
    </row>
    <row r="402" spans="1:12" s="347" customFormat="1" ht="39.6" x14ac:dyDescent="0.25">
      <c r="A402" s="342" t="s">
        <v>528</v>
      </c>
      <c r="B402" s="361"/>
      <c r="C402" s="361"/>
      <c r="D402" s="362" t="s">
        <v>1175</v>
      </c>
      <c r="E402" s="345" t="s">
        <v>217</v>
      </c>
      <c r="F402" s="378">
        <v>3</v>
      </c>
      <c r="G402" s="328"/>
      <c r="H402" s="328"/>
      <c r="I402" s="327">
        <f t="shared" si="225"/>
        <v>0</v>
      </c>
      <c r="J402" s="327">
        <f t="shared" si="226"/>
        <v>0</v>
      </c>
      <c r="K402" s="327">
        <f t="shared" si="227"/>
        <v>0</v>
      </c>
      <c r="L402" s="327">
        <f t="shared" si="228"/>
        <v>0</v>
      </c>
    </row>
    <row r="403" spans="1:12" s="347" customFormat="1" ht="39.6" x14ac:dyDescent="0.25">
      <c r="A403" s="342" t="s">
        <v>529</v>
      </c>
      <c r="B403" s="361"/>
      <c r="C403" s="361"/>
      <c r="D403" s="362" t="s">
        <v>1176</v>
      </c>
      <c r="E403" s="345" t="s">
        <v>217</v>
      </c>
      <c r="F403" s="378">
        <v>12</v>
      </c>
      <c r="G403" s="328"/>
      <c r="H403" s="328"/>
      <c r="I403" s="327">
        <f t="shared" si="225"/>
        <v>0</v>
      </c>
      <c r="J403" s="327">
        <f t="shared" si="226"/>
        <v>0</v>
      </c>
      <c r="K403" s="327">
        <f t="shared" si="227"/>
        <v>0</v>
      </c>
      <c r="L403" s="327">
        <f t="shared" si="228"/>
        <v>0</v>
      </c>
    </row>
    <row r="404" spans="1:12" s="347" customFormat="1" ht="39.6" x14ac:dyDescent="0.25">
      <c r="A404" s="342" t="s">
        <v>530</v>
      </c>
      <c r="B404" s="361"/>
      <c r="C404" s="361"/>
      <c r="D404" s="362" t="s">
        <v>1177</v>
      </c>
      <c r="E404" s="345" t="s">
        <v>217</v>
      </c>
      <c r="F404" s="378">
        <v>2</v>
      </c>
      <c r="G404" s="328"/>
      <c r="H404" s="328"/>
      <c r="I404" s="327">
        <f t="shared" si="225"/>
        <v>0</v>
      </c>
      <c r="J404" s="327">
        <f t="shared" si="226"/>
        <v>0</v>
      </c>
      <c r="K404" s="327">
        <f t="shared" si="227"/>
        <v>0</v>
      </c>
      <c r="L404" s="327">
        <f t="shared" si="228"/>
        <v>0</v>
      </c>
    </row>
    <row r="405" spans="1:12" s="347" customFormat="1" ht="26.4" x14ac:dyDescent="0.25">
      <c r="A405" s="342" t="s">
        <v>531</v>
      </c>
      <c r="B405" s="354"/>
      <c r="C405" s="344"/>
      <c r="D405" s="342" t="s">
        <v>211</v>
      </c>
      <c r="E405" s="345" t="s">
        <v>217</v>
      </c>
      <c r="F405" s="346">
        <v>180</v>
      </c>
      <c r="G405" s="327"/>
      <c r="H405" s="327"/>
      <c r="I405" s="327">
        <f t="shared" si="224"/>
        <v>0</v>
      </c>
      <c r="J405" s="327">
        <f t="shared" si="217"/>
        <v>0</v>
      </c>
      <c r="K405" s="327">
        <f t="shared" si="218"/>
        <v>0</v>
      </c>
      <c r="L405" s="327">
        <f t="shared" si="219"/>
        <v>0</v>
      </c>
    </row>
    <row r="406" spans="1:12" s="347" customFormat="1" ht="26.4" x14ac:dyDescent="0.25">
      <c r="A406" s="342" t="s">
        <v>532</v>
      </c>
      <c r="B406" s="354"/>
      <c r="C406" s="344"/>
      <c r="D406" s="342" t="s">
        <v>212</v>
      </c>
      <c r="E406" s="345" t="s">
        <v>217</v>
      </c>
      <c r="F406" s="346">
        <v>20</v>
      </c>
      <c r="G406" s="327"/>
      <c r="H406" s="327"/>
      <c r="I406" s="327">
        <f t="shared" si="224"/>
        <v>0</v>
      </c>
      <c r="J406" s="327">
        <f t="shared" si="217"/>
        <v>0</v>
      </c>
      <c r="K406" s="327">
        <f t="shared" si="218"/>
        <v>0</v>
      </c>
      <c r="L406" s="327">
        <f t="shared" si="219"/>
        <v>0</v>
      </c>
    </row>
    <row r="407" spans="1:12" s="347" customFormat="1" ht="26.4" x14ac:dyDescent="0.25">
      <c r="A407" s="342" t="s">
        <v>533</v>
      </c>
      <c r="B407" s="343"/>
      <c r="C407" s="344"/>
      <c r="D407" s="342" t="s">
        <v>213</v>
      </c>
      <c r="E407" s="345" t="s">
        <v>217</v>
      </c>
      <c r="F407" s="346">
        <v>122</v>
      </c>
      <c r="G407" s="327"/>
      <c r="H407" s="327"/>
      <c r="I407" s="327">
        <f t="shared" si="224"/>
        <v>0</v>
      </c>
      <c r="J407" s="327">
        <f t="shared" si="217"/>
        <v>0</v>
      </c>
      <c r="K407" s="327">
        <f t="shared" si="218"/>
        <v>0</v>
      </c>
      <c r="L407" s="327">
        <f t="shared" si="219"/>
        <v>0</v>
      </c>
    </row>
    <row r="408" spans="1:12" s="347" customFormat="1" ht="26.4" x14ac:dyDescent="0.25">
      <c r="A408" s="342" t="s">
        <v>534</v>
      </c>
      <c r="B408" s="354"/>
      <c r="C408" s="344"/>
      <c r="D408" s="342" t="s">
        <v>682</v>
      </c>
      <c r="E408" s="345" t="s">
        <v>217</v>
      </c>
      <c r="F408" s="346">
        <v>47</v>
      </c>
      <c r="G408" s="327"/>
      <c r="H408" s="327"/>
      <c r="I408" s="327">
        <f t="shared" si="224"/>
        <v>0</v>
      </c>
      <c r="J408" s="327">
        <f t="shared" si="217"/>
        <v>0</v>
      </c>
      <c r="K408" s="327">
        <f t="shared" si="218"/>
        <v>0</v>
      </c>
      <c r="L408" s="327">
        <f t="shared" si="219"/>
        <v>0</v>
      </c>
    </row>
    <row r="409" spans="1:12" s="347" customFormat="1" x14ac:dyDescent="0.25">
      <c r="A409" s="342" t="s">
        <v>535</v>
      </c>
      <c r="B409" s="354"/>
      <c r="C409" s="344"/>
      <c r="D409" s="342" t="s">
        <v>214</v>
      </c>
      <c r="E409" s="345" t="s">
        <v>217</v>
      </c>
      <c r="F409" s="346">
        <v>131</v>
      </c>
      <c r="G409" s="327"/>
      <c r="H409" s="327"/>
      <c r="I409" s="327">
        <f t="shared" si="224"/>
        <v>0</v>
      </c>
      <c r="J409" s="327">
        <f t="shared" si="217"/>
        <v>0</v>
      </c>
      <c r="K409" s="327">
        <f t="shared" si="218"/>
        <v>0</v>
      </c>
      <c r="L409" s="327">
        <f t="shared" si="219"/>
        <v>0</v>
      </c>
    </row>
    <row r="410" spans="1:12" s="347" customFormat="1" ht="26.4" x14ac:dyDescent="0.25">
      <c r="A410" s="342" t="s">
        <v>536</v>
      </c>
      <c r="B410" s="343"/>
      <c r="C410" s="344"/>
      <c r="D410" s="342" t="s">
        <v>224</v>
      </c>
      <c r="E410" s="345" t="s">
        <v>217</v>
      </c>
      <c r="F410" s="346">
        <v>24</v>
      </c>
      <c r="G410" s="327"/>
      <c r="H410" s="327"/>
      <c r="I410" s="327">
        <f>TRUNC(SUM(G410:H410),2)</f>
        <v>0</v>
      </c>
      <c r="J410" s="327">
        <f t="shared" ref="J410:J418" si="229">TRUNC(F410*G410,2)</f>
        <v>0</v>
      </c>
      <c r="K410" s="327">
        <f t="shared" ref="K410:K418" si="230">TRUNC(F410*H410,2)</f>
        <v>0</v>
      </c>
      <c r="L410" s="327">
        <f t="shared" ref="L410:L418" si="231">TRUNC(SUM(J410,K410),2)</f>
        <v>0</v>
      </c>
    </row>
    <row r="411" spans="1:12" s="347" customFormat="1" ht="26.4" x14ac:dyDescent="0.25">
      <c r="A411" s="342" t="s">
        <v>537</v>
      </c>
      <c r="B411" s="343"/>
      <c r="C411" s="344"/>
      <c r="D411" s="342" t="s">
        <v>225</v>
      </c>
      <c r="E411" s="345" t="s">
        <v>217</v>
      </c>
      <c r="F411" s="346">
        <v>6</v>
      </c>
      <c r="G411" s="327"/>
      <c r="H411" s="327"/>
      <c r="I411" s="327">
        <f>TRUNC(SUM(G411:H411),2)</f>
        <v>0</v>
      </c>
      <c r="J411" s="327">
        <f t="shared" si="229"/>
        <v>0</v>
      </c>
      <c r="K411" s="327">
        <f t="shared" si="230"/>
        <v>0</v>
      </c>
      <c r="L411" s="327">
        <f t="shared" si="231"/>
        <v>0</v>
      </c>
    </row>
    <row r="412" spans="1:12" s="347" customFormat="1" ht="26.4" x14ac:dyDescent="0.25">
      <c r="A412" s="342" t="s">
        <v>538</v>
      </c>
      <c r="B412" s="361"/>
      <c r="C412" s="361"/>
      <c r="D412" s="362" t="s">
        <v>684</v>
      </c>
      <c r="E412" s="345" t="s">
        <v>217</v>
      </c>
      <c r="F412" s="378">
        <v>3</v>
      </c>
      <c r="G412" s="328"/>
      <c r="H412" s="328"/>
      <c r="I412" s="327">
        <f t="shared" ref="I412" si="232">TRUNC(SUM(G412:H412),2)</f>
        <v>0</v>
      </c>
      <c r="J412" s="328">
        <f t="shared" si="229"/>
        <v>0</v>
      </c>
      <c r="K412" s="328">
        <f t="shared" si="230"/>
        <v>0</v>
      </c>
      <c r="L412" s="328">
        <f t="shared" si="231"/>
        <v>0</v>
      </c>
    </row>
    <row r="413" spans="1:12" s="347" customFormat="1" ht="26.4" x14ac:dyDescent="0.25">
      <c r="A413" s="342" t="s">
        <v>539</v>
      </c>
      <c r="B413" s="385"/>
      <c r="C413" s="361"/>
      <c r="D413" s="362" t="s">
        <v>226</v>
      </c>
      <c r="E413" s="345" t="s">
        <v>217</v>
      </c>
      <c r="F413" s="378">
        <v>41</v>
      </c>
      <c r="G413" s="328"/>
      <c r="H413" s="328"/>
      <c r="I413" s="327">
        <f>TRUNC(SUM(G413:H413),2)</f>
        <v>0</v>
      </c>
      <c r="J413" s="327">
        <f t="shared" si="229"/>
        <v>0</v>
      </c>
      <c r="K413" s="327">
        <f t="shared" si="230"/>
        <v>0</v>
      </c>
      <c r="L413" s="327">
        <f t="shared" si="231"/>
        <v>0</v>
      </c>
    </row>
    <row r="414" spans="1:12" s="347" customFormat="1" ht="26.4" x14ac:dyDescent="0.25">
      <c r="A414" s="342" t="s">
        <v>540</v>
      </c>
      <c r="B414" s="385"/>
      <c r="C414" s="361"/>
      <c r="D414" s="362" t="s">
        <v>227</v>
      </c>
      <c r="E414" s="345" t="s">
        <v>217</v>
      </c>
      <c r="F414" s="378">
        <v>2</v>
      </c>
      <c r="G414" s="328"/>
      <c r="H414" s="328"/>
      <c r="I414" s="327">
        <f>TRUNC(SUM(G414:H414),2)</f>
        <v>0</v>
      </c>
      <c r="J414" s="327">
        <f t="shared" si="229"/>
        <v>0</v>
      </c>
      <c r="K414" s="327">
        <f t="shared" si="230"/>
        <v>0</v>
      </c>
      <c r="L414" s="327">
        <f t="shared" si="231"/>
        <v>0</v>
      </c>
    </row>
    <row r="415" spans="1:12" s="347" customFormat="1" ht="26.4" x14ac:dyDescent="0.25">
      <c r="A415" s="342" t="s">
        <v>541</v>
      </c>
      <c r="B415" s="385"/>
      <c r="C415" s="361"/>
      <c r="D415" s="362" t="s">
        <v>228</v>
      </c>
      <c r="E415" s="345" t="s">
        <v>217</v>
      </c>
      <c r="F415" s="378">
        <v>58</v>
      </c>
      <c r="G415" s="328"/>
      <c r="H415" s="328"/>
      <c r="I415" s="327">
        <f>TRUNC(SUM(G415:H415),2)</f>
        <v>0</v>
      </c>
      <c r="J415" s="327">
        <f t="shared" si="229"/>
        <v>0</v>
      </c>
      <c r="K415" s="327">
        <f t="shared" si="230"/>
        <v>0</v>
      </c>
      <c r="L415" s="327">
        <f t="shared" si="231"/>
        <v>0</v>
      </c>
    </row>
    <row r="416" spans="1:12" s="347" customFormat="1" ht="26.4" x14ac:dyDescent="0.25">
      <c r="A416" s="342" t="s">
        <v>542</v>
      </c>
      <c r="B416" s="361"/>
      <c r="C416" s="361"/>
      <c r="D416" s="362" t="s">
        <v>685</v>
      </c>
      <c r="E416" s="345" t="s">
        <v>217</v>
      </c>
      <c r="F416" s="378">
        <v>51</v>
      </c>
      <c r="G416" s="328"/>
      <c r="H416" s="328"/>
      <c r="I416" s="327">
        <f t="shared" ref="I416:I417" si="233">TRUNC(SUM(G416:H416),2)</f>
        <v>0</v>
      </c>
      <c r="J416" s="328">
        <f t="shared" si="229"/>
        <v>0</v>
      </c>
      <c r="K416" s="328">
        <f t="shared" si="230"/>
        <v>0</v>
      </c>
      <c r="L416" s="328">
        <f t="shared" si="231"/>
        <v>0</v>
      </c>
    </row>
    <row r="417" spans="1:12" s="347" customFormat="1" ht="26.4" x14ac:dyDescent="0.25">
      <c r="A417" s="342" t="s">
        <v>543</v>
      </c>
      <c r="B417" s="361"/>
      <c r="C417" s="361"/>
      <c r="D417" s="362" t="s">
        <v>686</v>
      </c>
      <c r="E417" s="345" t="s">
        <v>217</v>
      </c>
      <c r="F417" s="378">
        <v>2</v>
      </c>
      <c r="G417" s="328"/>
      <c r="H417" s="328"/>
      <c r="I417" s="327">
        <f t="shared" si="233"/>
        <v>0</v>
      </c>
      <c r="J417" s="328">
        <f t="shared" si="229"/>
        <v>0</v>
      </c>
      <c r="K417" s="328">
        <f t="shared" si="230"/>
        <v>0</v>
      </c>
      <c r="L417" s="328">
        <f t="shared" si="231"/>
        <v>0</v>
      </c>
    </row>
    <row r="418" spans="1:12" s="347" customFormat="1" ht="26.4" x14ac:dyDescent="0.25">
      <c r="A418" s="342" t="s">
        <v>544</v>
      </c>
      <c r="B418" s="361"/>
      <c r="C418" s="361"/>
      <c r="D418" s="362" t="s">
        <v>687</v>
      </c>
      <c r="E418" s="345" t="s">
        <v>217</v>
      </c>
      <c r="F418" s="378">
        <v>10</v>
      </c>
      <c r="G418" s="328"/>
      <c r="H418" s="328"/>
      <c r="I418" s="328"/>
      <c r="J418" s="328">
        <f t="shared" si="229"/>
        <v>0</v>
      </c>
      <c r="K418" s="328">
        <f t="shared" si="230"/>
        <v>0</v>
      </c>
      <c r="L418" s="328">
        <f t="shared" si="231"/>
        <v>0</v>
      </c>
    </row>
    <row r="419" spans="1:12" s="347" customFormat="1" ht="39.6" x14ac:dyDescent="0.25">
      <c r="A419" s="342" t="s">
        <v>545</v>
      </c>
      <c r="B419" s="343"/>
      <c r="C419" s="344"/>
      <c r="D419" s="342" t="s">
        <v>215</v>
      </c>
      <c r="E419" s="345" t="s">
        <v>217</v>
      </c>
      <c r="F419" s="346">
        <v>2</v>
      </c>
      <c r="G419" s="327"/>
      <c r="H419" s="327"/>
      <c r="I419" s="327">
        <f t="shared" si="224"/>
        <v>0</v>
      </c>
      <c r="J419" s="327">
        <f t="shared" si="217"/>
        <v>0</v>
      </c>
      <c r="K419" s="327">
        <f t="shared" si="218"/>
        <v>0</v>
      </c>
      <c r="L419" s="327">
        <f t="shared" si="219"/>
        <v>0</v>
      </c>
    </row>
    <row r="420" spans="1:12" s="347" customFormat="1" ht="26.4" x14ac:dyDescent="0.25">
      <c r="A420" s="342" t="s">
        <v>546</v>
      </c>
      <c r="B420" s="354"/>
      <c r="C420" s="344"/>
      <c r="D420" s="342" t="s">
        <v>216</v>
      </c>
      <c r="E420" s="345" t="s">
        <v>217</v>
      </c>
      <c r="F420" s="346">
        <v>10</v>
      </c>
      <c r="G420" s="327"/>
      <c r="H420" s="327"/>
      <c r="I420" s="327">
        <f t="shared" si="224"/>
        <v>0</v>
      </c>
      <c r="J420" s="327">
        <f t="shared" si="217"/>
        <v>0</v>
      </c>
      <c r="K420" s="327">
        <f t="shared" si="218"/>
        <v>0</v>
      </c>
      <c r="L420" s="327">
        <f t="shared" si="219"/>
        <v>0</v>
      </c>
    </row>
    <row r="421" spans="1:12" s="347" customFormat="1" ht="26.4" x14ac:dyDescent="0.25">
      <c r="A421" s="342" t="s">
        <v>547</v>
      </c>
      <c r="B421" s="354"/>
      <c r="C421" s="344"/>
      <c r="D421" s="342" t="s">
        <v>1178</v>
      </c>
      <c r="E421" s="345" t="s">
        <v>217</v>
      </c>
      <c r="F421" s="346">
        <v>3</v>
      </c>
      <c r="G421" s="327"/>
      <c r="H421" s="327"/>
      <c r="I421" s="327">
        <f t="shared" si="224"/>
        <v>0</v>
      </c>
      <c r="J421" s="327">
        <f t="shared" si="217"/>
        <v>0</v>
      </c>
      <c r="K421" s="327">
        <f t="shared" si="218"/>
        <v>0</v>
      </c>
      <c r="L421" s="327">
        <f t="shared" si="219"/>
        <v>0</v>
      </c>
    </row>
    <row r="422" spans="1:12" s="347" customFormat="1" ht="26.4" x14ac:dyDescent="0.25">
      <c r="A422" s="342" t="s">
        <v>548</v>
      </c>
      <c r="B422" s="354"/>
      <c r="C422" s="344"/>
      <c r="D422" s="342" t="s">
        <v>462</v>
      </c>
      <c r="E422" s="345" t="s">
        <v>89</v>
      </c>
      <c r="F422" s="346">
        <v>90</v>
      </c>
      <c r="G422" s="327"/>
      <c r="H422" s="327"/>
      <c r="I422" s="327">
        <f t="shared" si="224"/>
        <v>0</v>
      </c>
      <c r="J422" s="327">
        <f t="shared" si="217"/>
        <v>0</v>
      </c>
      <c r="K422" s="327">
        <f t="shared" si="218"/>
        <v>0</v>
      </c>
      <c r="L422" s="327">
        <f t="shared" si="219"/>
        <v>0</v>
      </c>
    </row>
    <row r="423" spans="1:12" s="347" customFormat="1" ht="26.4" x14ac:dyDescent="0.25">
      <c r="A423" s="342" t="s">
        <v>549</v>
      </c>
      <c r="B423" s="354"/>
      <c r="C423" s="344"/>
      <c r="D423" s="342" t="s">
        <v>688</v>
      </c>
      <c r="E423" s="345" t="s">
        <v>89</v>
      </c>
      <c r="F423" s="346">
        <v>90</v>
      </c>
      <c r="G423" s="327"/>
      <c r="H423" s="327"/>
      <c r="I423" s="327">
        <f t="shared" si="224"/>
        <v>0</v>
      </c>
      <c r="J423" s="327">
        <f t="shared" si="217"/>
        <v>0</v>
      </c>
      <c r="K423" s="327">
        <f t="shared" si="218"/>
        <v>0</v>
      </c>
      <c r="L423" s="327">
        <f t="shared" si="219"/>
        <v>0</v>
      </c>
    </row>
    <row r="424" spans="1:12" s="347" customFormat="1" ht="26.4" x14ac:dyDescent="0.25">
      <c r="A424" s="342" t="s">
        <v>550</v>
      </c>
      <c r="B424" s="354"/>
      <c r="C424" s="344"/>
      <c r="D424" s="342" t="s">
        <v>1179</v>
      </c>
      <c r="E424" s="345" t="s">
        <v>217</v>
      </c>
      <c r="F424" s="346">
        <v>3</v>
      </c>
      <c r="G424" s="327"/>
      <c r="H424" s="327"/>
      <c r="I424" s="327">
        <f>TRUNC(SUM(G424:H424),2)</f>
        <v>0</v>
      </c>
      <c r="J424" s="327">
        <f>TRUNC(F424*G424,2)</f>
        <v>0</v>
      </c>
      <c r="K424" s="327">
        <f>TRUNC(F424*H424,2)</f>
        <v>0</v>
      </c>
      <c r="L424" s="327">
        <f>TRUNC(SUM(J424,K424),2)</f>
        <v>0</v>
      </c>
    </row>
    <row r="425" spans="1:12" s="347" customFormat="1" ht="26.4" x14ac:dyDescent="0.25">
      <c r="A425" s="342" t="s">
        <v>551</v>
      </c>
      <c r="B425" s="354"/>
      <c r="C425" s="344"/>
      <c r="D425" s="342" t="s">
        <v>463</v>
      </c>
      <c r="E425" s="345" t="s">
        <v>217</v>
      </c>
      <c r="F425" s="346">
        <v>25</v>
      </c>
      <c r="G425" s="327"/>
      <c r="H425" s="327"/>
      <c r="I425" s="327">
        <f t="shared" si="224"/>
        <v>0</v>
      </c>
      <c r="J425" s="327">
        <f t="shared" si="217"/>
        <v>0</v>
      </c>
      <c r="K425" s="327">
        <f t="shared" si="218"/>
        <v>0</v>
      </c>
      <c r="L425" s="327">
        <f t="shared" si="219"/>
        <v>0</v>
      </c>
    </row>
    <row r="426" spans="1:12" s="347" customFormat="1" ht="26.4" x14ac:dyDescent="0.25">
      <c r="A426" s="342" t="s">
        <v>552</v>
      </c>
      <c r="B426" s="354"/>
      <c r="C426" s="344"/>
      <c r="D426" s="342" t="s">
        <v>567</v>
      </c>
      <c r="E426" s="345" t="s">
        <v>217</v>
      </c>
      <c r="F426" s="346">
        <v>11</v>
      </c>
      <c r="G426" s="327"/>
      <c r="H426" s="327"/>
      <c r="I426" s="327">
        <f t="shared" si="224"/>
        <v>0</v>
      </c>
      <c r="J426" s="327">
        <f t="shared" si="217"/>
        <v>0</v>
      </c>
      <c r="K426" s="327">
        <f t="shared" si="218"/>
        <v>0</v>
      </c>
      <c r="L426" s="327">
        <f t="shared" si="219"/>
        <v>0</v>
      </c>
    </row>
    <row r="427" spans="1:12" s="347" customFormat="1" ht="26.4" x14ac:dyDescent="0.25">
      <c r="A427" s="342" t="s">
        <v>553</v>
      </c>
      <c r="B427" s="354"/>
      <c r="C427" s="361"/>
      <c r="D427" s="362" t="s">
        <v>689</v>
      </c>
      <c r="E427" s="345" t="s">
        <v>217</v>
      </c>
      <c r="F427" s="378">
        <v>10</v>
      </c>
      <c r="G427" s="328"/>
      <c r="H427" s="328"/>
      <c r="I427" s="327">
        <f t="shared" ref="I427:I432" si="234">TRUNC(SUM(G427:H427),2)</f>
        <v>0</v>
      </c>
      <c r="J427" s="327">
        <f t="shared" ref="J427:J432" si="235">TRUNC(F427*G427,2)</f>
        <v>0</v>
      </c>
      <c r="K427" s="327">
        <f t="shared" ref="K427:K432" si="236">TRUNC(F427*H427,2)</f>
        <v>0</v>
      </c>
      <c r="L427" s="327">
        <f t="shared" ref="L427:L432" si="237">TRUNC(SUM(J427,K427),2)</f>
        <v>0</v>
      </c>
    </row>
    <row r="428" spans="1:12" s="347" customFormat="1" x14ac:dyDescent="0.25">
      <c r="A428" s="342" t="s">
        <v>554</v>
      </c>
      <c r="B428" s="354"/>
      <c r="C428" s="344"/>
      <c r="D428" s="342" t="s">
        <v>218</v>
      </c>
      <c r="E428" s="345" t="s">
        <v>217</v>
      </c>
      <c r="F428" s="346">
        <v>124</v>
      </c>
      <c r="G428" s="327"/>
      <c r="H428" s="327"/>
      <c r="I428" s="327">
        <f t="shared" si="234"/>
        <v>0</v>
      </c>
      <c r="J428" s="327">
        <f t="shared" si="235"/>
        <v>0</v>
      </c>
      <c r="K428" s="327">
        <f t="shared" si="236"/>
        <v>0</v>
      </c>
      <c r="L428" s="327">
        <f t="shared" si="237"/>
        <v>0</v>
      </c>
    </row>
    <row r="429" spans="1:12" s="347" customFormat="1" x14ac:dyDescent="0.25">
      <c r="A429" s="342" t="s">
        <v>445</v>
      </c>
      <c r="B429" s="354"/>
      <c r="C429" s="344"/>
      <c r="D429" s="342" t="s">
        <v>464</v>
      </c>
      <c r="E429" s="345" t="s">
        <v>217</v>
      </c>
      <c r="F429" s="346">
        <v>59</v>
      </c>
      <c r="G429" s="327"/>
      <c r="H429" s="327"/>
      <c r="I429" s="327">
        <f t="shared" si="234"/>
        <v>0</v>
      </c>
      <c r="J429" s="327">
        <f t="shared" si="235"/>
        <v>0</v>
      </c>
      <c r="K429" s="327">
        <f t="shared" si="236"/>
        <v>0</v>
      </c>
      <c r="L429" s="327">
        <f t="shared" si="237"/>
        <v>0</v>
      </c>
    </row>
    <row r="430" spans="1:12" s="347" customFormat="1" x14ac:dyDescent="0.25">
      <c r="A430" s="342" t="s">
        <v>446</v>
      </c>
      <c r="B430" s="361"/>
      <c r="C430" s="361"/>
      <c r="D430" s="362" t="s">
        <v>485</v>
      </c>
      <c r="E430" s="345" t="s">
        <v>217</v>
      </c>
      <c r="F430" s="378">
        <v>5</v>
      </c>
      <c r="G430" s="328"/>
      <c r="H430" s="328"/>
      <c r="I430" s="327">
        <f t="shared" si="234"/>
        <v>0</v>
      </c>
      <c r="J430" s="327">
        <f t="shared" si="235"/>
        <v>0</v>
      </c>
      <c r="K430" s="327">
        <f t="shared" si="236"/>
        <v>0</v>
      </c>
      <c r="L430" s="327">
        <f t="shared" si="237"/>
        <v>0</v>
      </c>
    </row>
    <row r="431" spans="1:12" s="347" customFormat="1" ht="26.4" x14ac:dyDescent="0.25">
      <c r="A431" s="342" t="s">
        <v>447</v>
      </c>
      <c r="B431" s="354"/>
      <c r="C431" s="344"/>
      <c r="D431" s="342" t="s">
        <v>219</v>
      </c>
      <c r="E431" s="345" t="s">
        <v>89</v>
      </c>
      <c r="F431" s="346">
        <v>54</v>
      </c>
      <c r="G431" s="327"/>
      <c r="H431" s="327"/>
      <c r="I431" s="327">
        <f t="shared" si="234"/>
        <v>0</v>
      </c>
      <c r="J431" s="327">
        <f t="shared" si="235"/>
        <v>0</v>
      </c>
      <c r="K431" s="327">
        <f t="shared" si="236"/>
        <v>0</v>
      </c>
      <c r="L431" s="327">
        <f t="shared" si="237"/>
        <v>0</v>
      </c>
    </row>
    <row r="432" spans="1:12" s="347" customFormat="1" ht="26.4" x14ac:dyDescent="0.25">
      <c r="A432" s="342" t="s">
        <v>448</v>
      </c>
      <c r="B432" s="361"/>
      <c r="C432" s="361"/>
      <c r="D432" s="362" t="s">
        <v>247</v>
      </c>
      <c r="E432" s="345" t="s">
        <v>217</v>
      </c>
      <c r="F432" s="378">
        <v>61</v>
      </c>
      <c r="G432" s="328"/>
      <c r="H432" s="328"/>
      <c r="I432" s="327">
        <f t="shared" si="234"/>
        <v>0</v>
      </c>
      <c r="J432" s="327">
        <f t="shared" si="235"/>
        <v>0</v>
      </c>
      <c r="K432" s="327">
        <f t="shared" si="236"/>
        <v>0</v>
      </c>
      <c r="L432" s="327">
        <f t="shared" si="237"/>
        <v>0</v>
      </c>
    </row>
    <row r="433" spans="1:15" s="347" customFormat="1" ht="26.4" x14ac:dyDescent="0.25">
      <c r="A433" s="342" t="s">
        <v>449</v>
      </c>
      <c r="B433" s="361"/>
      <c r="C433" s="361"/>
      <c r="D433" s="342" t="s">
        <v>1180</v>
      </c>
      <c r="E433" s="345" t="s">
        <v>217</v>
      </c>
      <c r="F433" s="346">
        <v>26</v>
      </c>
      <c r="G433" s="327"/>
      <c r="H433" s="327"/>
      <c r="I433" s="327">
        <f>TRUNC(SUM(G433:H433),2)</f>
        <v>0</v>
      </c>
      <c r="J433" s="327">
        <f t="shared" ref="J433:J438" si="238">TRUNC(F433*G433,2)</f>
        <v>0</v>
      </c>
      <c r="K433" s="327">
        <f t="shared" ref="K433:K438" si="239">TRUNC(F433*H433,2)</f>
        <v>0</v>
      </c>
      <c r="L433" s="327">
        <f t="shared" ref="L433:L438" si="240">TRUNC(SUM(J433,K433),2)</f>
        <v>0</v>
      </c>
    </row>
    <row r="434" spans="1:15" s="347" customFormat="1" ht="26.4" x14ac:dyDescent="0.25">
      <c r="A434" s="342" t="s">
        <v>450</v>
      </c>
      <c r="B434" s="361"/>
      <c r="C434" s="361"/>
      <c r="D434" s="342" t="s">
        <v>691</v>
      </c>
      <c r="E434" s="345" t="s">
        <v>217</v>
      </c>
      <c r="F434" s="346">
        <v>32</v>
      </c>
      <c r="G434" s="327"/>
      <c r="H434" s="327"/>
      <c r="I434" s="327">
        <f>TRUNC(SUM(G434:H434),2)</f>
        <v>0</v>
      </c>
      <c r="J434" s="327">
        <f t="shared" si="238"/>
        <v>0</v>
      </c>
      <c r="K434" s="327">
        <f t="shared" si="239"/>
        <v>0</v>
      </c>
      <c r="L434" s="327">
        <f t="shared" si="240"/>
        <v>0</v>
      </c>
    </row>
    <row r="435" spans="1:15" s="347" customFormat="1" ht="26.4" x14ac:dyDescent="0.25">
      <c r="A435" s="342" t="s">
        <v>451</v>
      </c>
      <c r="B435" s="361"/>
      <c r="C435" s="361"/>
      <c r="D435" s="342" t="s">
        <v>1181</v>
      </c>
      <c r="E435" s="345" t="s">
        <v>217</v>
      </c>
      <c r="F435" s="378">
        <v>6</v>
      </c>
      <c r="G435" s="328"/>
      <c r="H435" s="328"/>
      <c r="I435" s="327">
        <f t="shared" ref="I435:I437" si="241">TRUNC(SUM(G435:H435),2)</f>
        <v>0</v>
      </c>
      <c r="J435" s="328">
        <f t="shared" si="238"/>
        <v>0</v>
      </c>
      <c r="K435" s="328">
        <f t="shared" si="239"/>
        <v>0</v>
      </c>
      <c r="L435" s="328">
        <f t="shared" si="240"/>
        <v>0</v>
      </c>
    </row>
    <row r="436" spans="1:15" s="347" customFormat="1" ht="66" x14ac:dyDescent="0.25">
      <c r="A436" s="342" t="s">
        <v>452</v>
      </c>
      <c r="B436" s="361"/>
      <c r="C436" s="361"/>
      <c r="D436" s="342" t="s">
        <v>1182</v>
      </c>
      <c r="E436" s="345" t="s">
        <v>217</v>
      </c>
      <c r="F436" s="346">
        <v>12</v>
      </c>
      <c r="G436" s="327"/>
      <c r="H436" s="327"/>
      <c r="I436" s="327">
        <f t="shared" si="241"/>
        <v>0</v>
      </c>
      <c r="J436" s="327">
        <f t="shared" si="238"/>
        <v>0</v>
      </c>
      <c r="K436" s="327">
        <f t="shared" si="239"/>
        <v>0</v>
      </c>
      <c r="L436" s="327">
        <f t="shared" si="240"/>
        <v>0</v>
      </c>
    </row>
    <row r="437" spans="1:15" s="347" customFormat="1" ht="26.4" x14ac:dyDescent="0.25">
      <c r="A437" s="342" t="s">
        <v>453</v>
      </c>
      <c r="B437" s="361"/>
      <c r="C437" s="361"/>
      <c r="D437" s="362" t="s">
        <v>698</v>
      </c>
      <c r="E437" s="345" t="s">
        <v>217</v>
      </c>
      <c r="F437" s="378">
        <v>32</v>
      </c>
      <c r="G437" s="328"/>
      <c r="H437" s="328"/>
      <c r="I437" s="327">
        <f t="shared" si="241"/>
        <v>0</v>
      </c>
      <c r="J437" s="328">
        <f t="shared" si="238"/>
        <v>0</v>
      </c>
      <c r="K437" s="328">
        <f t="shared" si="239"/>
        <v>0</v>
      </c>
      <c r="L437" s="328">
        <f t="shared" si="240"/>
        <v>0</v>
      </c>
    </row>
    <row r="438" spans="1:15" s="347" customFormat="1" ht="27" customHeight="1" x14ac:dyDescent="0.25">
      <c r="A438" s="342" t="s">
        <v>454</v>
      </c>
      <c r="B438" s="343"/>
      <c r="C438" s="344"/>
      <c r="D438" s="342" t="s">
        <v>690</v>
      </c>
      <c r="E438" s="345" t="s">
        <v>217</v>
      </c>
      <c r="F438" s="346">
        <v>13</v>
      </c>
      <c r="G438" s="327"/>
      <c r="H438" s="327"/>
      <c r="I438" s="327">
        <f>TRUNC(SUM(G438:H438),2)</f>
        <v>0</v>
      </c>
      <c r="J438" s="327">
        <f t="shared" si="238"/>
        <v>0</v>
      </c>
      <c r="K438" s="327">
        <f t="shared" si="239"/>
        <v>0</v>
      </c>
      <c r="L438" s="327">
        <f t="shared" si="240"/>
        <v>0</v>
      </c>
    </row>
    <row r="439" spans="1:15" s="347" customFormat="1" ht="26.4" x14ac:dyDescent="0.25">
      <c r="A439" s="342" t="s">
        <v>692</v>
      </c>
      <c r="B439" s="385"/>
      <c r="C439" s="361"/>
      <c r="D439" s="362" t="s">
        <v>229</v>
      </c>
      <c r="E439" s="361" t="s">
        <v>89</v>
      </c>
      <c r="F439" s="378">
        <v>268.39999999999998</v>
      </c>
      <c r="G439" s="328"/>
      <c r="H439" s="328"/>
      <c r="I439" s="327">
        <f t="shared" ref="I439:I443" si="242">TRUNC(SUM(G439:H439),2)</f>
        <v>0</v>
      </c>
      <c r="J439" s="327">
        <f t="shared" ref="J439:J443" si="243">TRUNC(F439*G439,2)</f>
        <v>0</v>
      </c>
      <c r="K439" s="327">
        <f t="shared" ref="K439:K443" si="244">TRUNC(F439*H439,2)</f>
        <v>0</v>
      </c>
      <c r="L439" s="327">
        <f t="shared" ref="L439:L443" si="245">TRUNC(SUM(J439,K439),2)</f>
        <v>0</v>
      </c>
    </row>
    <row r="440" spans="1:15" s="347" customFormat="1" ht="26.4" x14ac:dyDescent="0.25">
      <c r="A440" s="342" t="s">
        <v>693</v>
      </c>
      <c r="B440" s="385"/>
      <c r="C440" s="361"/>
      <c r="D440" s="362" t="s">
        <v>230</v>
      </c>
      <c r="E440" s="361" t="s">
        <v>89</v>
      </c>
      <c r="F440" s="378">
        <v>268.39999999999998</v>
      </c>
      <c r="G440" s="328"/>
      <c r="H440" s="328"/>
      <c r="I440" s="327">
        <f t="shared" si="242"/>
        <v>0</v>
      </c>
      <c r="J440" s="327">
        <f t="shared" si="243"/>
        <v>0</v>
      </c>
      <c r="K440" s="327">
        <f t="shared" si="244"/>
        <v>0</v>
      </c>
      <c r="L440" s="327">
        <f t="shared" si="245"/>
        <v>0</v>
      </c>
    </row>
    <row r="441" spans="1:15" s="347" customFormat="1" ht="39.6" x14ac:dyDescent="0.25">
      <c r="A441" s="342" t="s">
        <v>694</v>
      </c>
      <c r="B441" s="361"/>
      <c r="C441" s="361"/>
      <c r="D441" s="362" t="s">
        <v>696</v>
      </c>
      <c r="E441" s="345" t="s">
        <v>217</v>
      </c>
      <c r="F441" s="378">
        <v>1</v>
      </c>
      <c r="G441" s="328"/>
      <c r="H441" s="328"/>
      <c r="I441" s="327">
        <f t="shared" si="242"/>
        <v>0</v>
      </c>
      <c r="J441" s="327">
        <f t="shared" si="243"/>
        <v>0</v>
      </c>
      <c r="K441" s="327">
        <f t="shared" si="244"/>
        <v>0</v>
      </c>
      <c r="L441" s="327">
        <f t="shared" si="245"/>
        <v>0</v>
      </c>
    </row>
    <row r="442" spans="1:15" s="347" customFormat="1" ht="39.6" x14ac:dyDescent="0.25">
      <c r="A442" s="342" t="s">
        <v>699</v>
      </c>
      <c r="B442" s="361"/>
      <c r="C442" s="361"/>
      <c r="D442" s="362" t="s">
        <v>697</v>
      </c>
      <c r="E442" s="345" t="s">
        <v>217</v>
      </c>
      <c r="F442" s="378">
        <v>1</v>
      </c>
      <c r="G442" s="328"/>
      <c r="H442" s="328"/>
      <c r="I442" s="327">
        <f t="shared" si="242"/>
        <v>0</v>
      </c>
      <c r="J442" s="328">
        <f t="shared" si="243"/>
        <v>0</v>
      </c>
      <c r="K442" s="328">
        <f t="shared" si="244"/>
        <v>0</v>
      </c>
      <c r="L442" s="328">
        <f t="shared" si="245"/>
        <v>0</v>
      </c>
    </row>
    <row r="443" spans="1:15" s="347" customFormat="1" ht="39.6" x14ac:dyDescent="0.25">
      <c r="A443" s="342" t="s">
        <v>973</v>
      </c>
      <c r="B443" s="361"/>
      <c r="C443" s="361"/>
      <c r="D443" s="362" t="s">
        <v>695</v>
      </c>
      <c r="E443" s="345" t="s">
        <v>217</v>
      </c>
      <c r="F443" s="378">
        <v>1</v>
      </c>
      <c r="G443" s="328"/>
      <c r="H443" s="328"/>
      <c r="I443" s="327">
        <f t="shared" si="242"/>
        <v>0</v>
      </c>
      <c r="J443" s="328">
        <f t="shared" si="243"/>
        <v>0</v>
      </c>
      <c r="K443" s="328">
        <f t="shared" si="244"/>
        <v>0</v>
      </c>
      <c r="L443" s="328">
        <f t="shared" si="245"/>
        <v>0</v>
      </c>
    </row>
    <row r="444" spans="1:15" x14ac:dyDescent="0.25">
      <c r="A444" s="364"/>
      <c r="B444" s="365"/>
      <c r="C444" s="366"/>
      <c r="D444" s="367" t="s">
        <v>324</v>
      </c>
      <c r="E444" s="368" t="s">
        <v>325</v>
      </c>
      <c r="F444" s="369"/>
      <c r="G444" s="370"/>
      <c r="H444" s="370"/>
      <c r="I444" s="370"/>
      <c r="J444" s="371">
        <f>SUM(J360:J443)</f>
        <v>0</v>
      </c>
      <c r="K444" s="371">
        <f>SUM(K360:K443)</f>
        <v>0</v>
      </c>
      <c r="L444" s="370"/>
      <c r="N444" s="347"/>
      <c r="O444" s="347"/>
    </row>
    <row r="445" spans="1:15" x14ac:dyDescent="0.25">
      <c r="A445" s="372"/>
      <c r="B445" s="373"/>
      <c r="C445" s="373"/>
      <c r="D445" s="372" t="s">
        <v>325</v>
      </c>
      <c r="E445" s="373" t="s">
        <v>325</v>
      </c>
      <c r="F445" s="374"/>
      <c r="G445" s="375"/>
      <c r="H445" s="375"/>
      <c r="I445" s="375"/>
      <c r="J445" s="376"/>
      <c r="K445" s="376">
        <f>SUM(J444:K444)</f>
        <v>0</v>
      </c>
      <c r="L445" s="375"/>
    </row>
    <row r="446" spans="1:15" x14ac:dyDescent="0.25">
      <c r="A446" s="206">
        <v>14</v>
      </c>
      <c r="B446" s="335"/>
      <c r="C446" s="335"/>
      <c r="D446" s="206" t="s">
        <v>231</v>
      </c>
      <c r="E446" s="206"/>
      <c r="F446" s="377"/>
      <c r="G446" s="210"/>
      <c r="H446" s="210"/>
      <c r="I446" s="210"/>
      <c r="J446" s="210"/>
      <c r="K446" s="210"/>
      <c r="L446" s="337">
        <f>L447+L450+L452+L456</f>
        <v>0</v>
      </c>
    </row>
    <row r="447" spans="1:15" s="341" customFormat="1" x14ac:dyDescent="0.25">
      <c r="A447" s="207" t="s">
        <v>232</v>
      </c>
      <c r="B447" s="338"/>
      <c r="C447" s="338"/>
      <c r="D447" s="207" t="s">
        <v>233</v>
      </c>
      <c r="E447" s="207"/>
      <c r="F447" s="326"/>
      <c r="G447" s="209"/>
      <c r="H447" s="209"/>
      <c r="I447" s="209"/>
      <c r="J447" s="209"/>
      <c r="K447" s="209"/>
      <c r="L447" s="340">
        <f>SUM(L448:L449)</f>
        <v>0</v>
      </c>
    </row>
    <row r="448" spans="1:15" ht="27.75" customHeight="1" x14ac:dyDescent="0.25">
      <c r="A448" s="325" t="s">
        <v>234</v>
      </c>
      <c r="B448" s="334"/>
      <c r="C448" s="331"/>
      <c r="D448" s="325" t="s">
        <v>235</v>
      </c>
      <c r="E448" s="332" t="s">
        <v>217</v>
      </c>
      <c r="F448" s="379">
        <v>4</v>
      </c>
      <c r="G448" s="208"/>
      <c r="H448" s="208"/>
      <c r="I448" s="208">
        <f t="shared" ref="I448:I449" si="246">TRUNC(SUM(G448:H448),2)</f>
        <v>0</v>
      </c>
      <c r="J448" s="208">
        <f t="shared" ref="J448:J449" si="247">TRUNC(F448*G448,2)</f>
        <v>0</v>
      </c>
      <c r="K448" s="208">
        <f t="shared" ref="K448:K449" si="248">TRUNC(F448*H448,2)</f>
        <v>0</v>
      </c>
      <c r="L448" s="208">
        <f t="shared" ref="L448:L449" si="249">TRUNC(SUM(J448,K448),2)</f>
        <v>0</v>
      </c>
    </row>
    <row r="449" spans="1:12" ht="52.8" x14ac:dyDescent="0.25">
      <c r="A449" s="325" t="s">
        <v>236</v>
      </c>
      <c r="B449" s="334"/>
      <c r="C449" s="331"/>
      <c r="D449" s="325" t="s">
        <v>237</v>
      </c>
      <c r="E449" s="332" t="s">
        <v>217</v>
      </c>
      <c r="F449" s="379">
        <v>4</v>
      </c>
      <c r="G449" s="208"/>
      <c r="H449" s="208"/>
      <c r="I449" s="208">
        <f t="shared" si="246"/>
        <v>0</v>
      </c>
      <c r="J449" s="208">
        <f t="shared" si="247"/>
        <v>0</v>
      </c>
      <c r="K449" s="208">
        <f t="shared" si="248"/>
        <v>0</v>
      </c>
      <c r="L449" s="208">
        <f t="shared" si="249"/>
        <v>0</v>
      </c>
    </row>
    <row r="450" spans="1:12" s="341" customFormat="1" x14ac:dyDescent="0.25">
      <c r="A450" s="207" t="s">
        <v>238</v>
      </c>
      <c r="B450" s="338"/>
      <c r="C450" s="338"/>
      <c r="D450" s="207" t="s">
        <v>239</v>
      </c>
      <c r="E450" s="207"/>
      <c r="F450" s="326"/>
      <c r="G450" s="209"/>
      <c r="H450" s="209"/>
      <c r="I450" s="209"/>
      <c r="J450" s="209"/>
      <c r="K450" s="209"/>
      <c r="L450" s="340">
        <f>SUM(L451:L451)</f>
        <v>0</v>
      </c>
    </row>
    <row r="451" spans="1:12" ht="26.4" x14ac:dyDescent="0.25">
      <c r="A451" s="325" t="s">
        <v>240</v>
      </c>
      <c r="B451" s="330"/>
      <c r="C451" s="331"/>
      <c r="D451" s="325" t="s">
        <v>241</v>
      </c>
      <c r="E451" s="332" t="s">
        <v>217</v>
      </c>
      <c r="F451" s="379">
        <v>12</v>
      </c>
      <c r="G451" s="208"/>
      <c r="H451" s="208"/>
      <c r="I451" s="208">
        <f t="shared" ref="I451" si="250">TRUNC(SUM(G451:H451),2)</f>
        <v>0</v>
      </c>
      <c r="J451" s="208">
        <f t="shared" ref="J451" si="251">TRUNC(F451*G451,2)</f>
        <v>0</v>
      </c>
      <c r="K451" s="208">
        <f t="shared" ref="K451" si="252">TRUNC(F451*H451,2)</f>
        <v>0</v>
      </c>
      <c r="L451" s="208">
        <f t="shared" ref="L451" si="253">TRUNC(SUM(J451,K451),2)</f>
        <v>0</v>
      </c>
    </row>
    <row r="452" spans="1:12" s="341" customFormat="1" x14ac:dyDescent="0.25">
      <c r="A452" s="207" t="s">
        <v>242</v>
      </c>
      <c r="B452" s="338"/>
      <c r="C452" s="338"/>
      <c r="D452" s="207" t="s">
        <v>243</v>
      </c>
      <c r="E452" s="207"/>
      <c r="F452" s="326"/>
      <c r="G452" s="209"/>
      <c r="H452" s="209"/>
      <c r="I452" s="209"/>
      <c r="J452" s="209"/>
      <c r="K452" s="209"/>
      <c r="L452" s="340">
        <f>SUM(L453:L455)</f>
        <v>0</v>
      </c>
    </row>
    <row r="453" spans="1:12" ht="52.8" x14ac:dyDescent="0.25">
      <c r="A453" s="325" t="s">
        <v>244</v>
      </c>
      <c r="B453" s="334"/>
      <c r="C453" s="331"/>
      <c r="D453" s="325" t="s">
        <v>855</v>
      </c>
      <c r="E453" s="332" t="s">
        <v>217</v>
      </c>
      <c r="F453" s="379">
        <v>11</v>
      </c>
      <c r="G453" s="208"/>
      <c r="H453" s="208"/>
      <c r="I453" s="208">
        <f t="shared" ref="I453" si="254">TRUNC(SUM(G453:H453),2)</f>
        <v>0</v>
      </c>
      <c r="J453" s="208">
        <f t="shared" ref="J453" si="255">TRUNC(F453*G453,2)</f>
        <v>0</v>
      </c>
      <c r="K453" s="208">
        <f t="shared" ref="K453" si="256">TRUNC(F453*H453,2)</f>
        <v>0</v>
      </c>
      <c r="L453" s="208">
        <f t="shared" ref="L453" si="257">TRUNC(SUM(J453,K453),2)</f>
        <v>0</v>
      </c>
    </row>
    <row r="454" spans="1:12" ht="37.5" customHeight="1" x14ac:dyDescent="0.25">
      <c r="A454" s="325" t="s">
        <v>875</v>
      </c>
      <c r="B454" s="334"/>
      <c r="C454" s="350"/>
      <c r="D454" s="351" t="s">
        <v>856</v>
      </c>
      <c r="E454" s="332" t="s">
        <v>217</v>
      </c>
      <c r="F454" s="324">
        <v>2</v>
      </c>
      <c r="G454" s="212"/>
      <c r="H454" s="212"/>
      <c r="I454" s="208">
        <f t="shared" ref="I454" si="258">TRUNC(SUM(G454:H454),2)</f>
        <v>0</v>
      </c>
      <c r="J454" s="208">
        <f t="shared" ref="J454" si="259">TRUNC(F454*G454,2)</f>
        <v>0</v>
      </c>
      <c r="K454" s="208">
        <f t="shared" ref="K454" si="260">TRUNC(F454*H454,2)</f>
        <v>0</v>
      </c>
      <c r="L454" s="208">
        <f t="shared" ref="L454" si="261">TRUNC(SUM(J454,K454),2)</f>
        <v>0</v>
      </c>
    </row>
    <row r="455" spans="1:12" ht="13.5" customHeight="1" x14ac:dyDescent="0.25">
      <c r="A455" s="325" t="s">
        <v>314</v>
      </c>
      <c r="B455" s="334"/>
      <c r="C455" s="331"/>
      <c r="D455" s="325" t="s">
        <v>878</v>
      </c>
      <c r="E455" s="332" t="s">
        <v>89</v>
      </c>
      <c r="F455" s="379">
        <f>16*1.4</f>
        <v>22.4</v>
      </c>
      <c r="G455" s="208"/>
      <c r="H455" s="208"/>
      <c r="I455" s="208">
        <f>TRUNC(SUM(G455:H455),2)</f>
        <v>0</v>
      </c>
      <c r="J455" s="208">
        <f>TRUNC(F455*G455,2)</f>
        <v>0</v>
      </c>
      <c r="K455" s="208">
        <f>TRUNC(F455*H455,2)</f>
        <v>0</v>
      </c>
      <c r="L455" s="208">
        <f>TRUNC(SUM(J455,K455),2)</f>
        <v>0</v>
      </c>
    </row>
    <row r="456" spans="1:12" s="341" customFormat="1" x14ac:dyDescent="0.25">
      <c r="A456" s="207" t="s">
        <v>245</v>
      </c>
      <c r="B456" s="338"/>
      <c r="C456" s="338"/>
      <c r="D456" s="207" t="s">
        <v>859</v>
      </c>
      <c r="E456" s="207"/>
      <c r="F456" s="326"/>
      <c r="G456" s="209"/>
      <c r="H456" s="209"/>
      <c r="I456" s="209"/>
      <c r="J456" s="209"/>
      <c r="K456" s="209"/>
      <c r="L456" s="340">
        <f>SUM(L457:L491)</f>
        <v>0</v>
      </c>
    </row>
    <row r="457" spans="1:12" ht="39.6" x14ac:dyDescent="0.25">
      <c r="A457" s="325" t="s">
        <v>246</v>
      </c>
      <c r="B457" s="330"/>
      <c r="C457" s="331"/>
      <c r="D457" s="325" t="s">
        <v>857</v>
      </c>
      <c r="E457" s="332" t="s">
        <v>60</v>
      </c>
      <c r="F457" s="379">
        <v>6.3</v>
      </c>
      <c r="G457" s="208"/>
      <c r="H457" s="208"/>
      <c r="I457" s="208">
        <f t="shared" ref="I457:I468" si="262">TRUNC(SUM(G457:H457),2)</f>
        <v>0</v>
      </c>
      <c r="J457" s="208">
        <f t="shared" ref="J457:J468" si="263">TRUNC(F457*G457,2)</f>
        <v>0</v>
      </c>
      <c r="K457" s="208">
        <f t="shared" ref="K457:K468" si="264">TRUNC(F457*H457,2)</f>
        <v>0</v>
      </c>
      <c r="L457" s="208">
        <f t="shared" ref="L457:L468" si="265">TRUNC(SUM(J457,K457),2)</f>
        <v>0</v>
      </c>
    </row>
    <row r="458" spans="1:12" ht="39.6" x14ac:dyDescent="0.25">
      <c r="A458" s="325" t="s">
        <v>865</v>
      </c>
      <c r="B458" s="330"/>
      <c r="C458" s="331"/>
      <c r="D458" s="325" t="s">
        <v>858</v>
      </c>
      <c r="E458" s="332" t="s">
        <v>60</v>
      </c>
      <c r="F458" s="379">
        <v>2.9</v>
      </c>
      <c r="G458" s="208"/>
      <c r="H458" s="208"/>
      <c r="I458" s="208">
        <f t="shared" si="262"/>
        <v>0</v>
      </c>
      <c r="J458" s="208">
        <f t="shared" si="263"/>
        <v>0</v>
      </c>
      <c r="K458" s="208">
        <f t="shared" si="264"/>
        <v>0</v>
      </c>
      <c r="L458" s="208">
        <f t="shared" si="265"/>
        <v>0</v>
      </c>
    </row>
    <row r="459" spans="1:12" ht="39.6" x14ac:dyDescent="0.25">
      <c r="A459" s="325" t="s">
        <v>866</v>
      </c>
      <c r="B459" s="330"/>
      <c r="C459" s="331"/>
      <c r="D459" s="325" t="s">
        <v>876</v>
      </c>
      <c r="E459" s="332" t="s">
        <v>60</v>
      </c>
      <c r="F459" s="379">
        <v>4.9000000000000004</v>
      </c>
      <c r="G459" s="208"/>
      <c r="H459" s="208"/>
      <c r="I459" s="208">
        <f t="shared" si="262"/>
        <v>0</v>
      </c>
      <c r="J459" s="208">
        <f t="shared" si="263"/>
        <v>0</v>
      </c>
      <c r="K459" s="208">
        <f t="shared" si="264"/>
        <v>0</v>
      </c>
      <c r="L459" s="208">
        <f t="shared" si="265"/>
        <v>0</v>
      </c>
    </row>
    <row r="460" spans="1:12" ht="39.6" x14ac:dyDescent="0.25">
      <c r="A460" s="325" t="s">
        <v>867</v>
      </c>
      <c r="B460" s="330"/>
      <c r="C460" s="331"/>
      <c r="D460" s="325" t="s">
        <v>1183</v>
      </c>
      <c r="E460" s="332" t="s">
        <v>60</v>
      </c>
      <c r="F460" s="379">
        <v>10.8</v>
      </c>
      <c r="G460" s="208"/>
      <c r="H460" s="208"/>
      <c r="I460" s="208">
        <f t="shared" si="262"/>
        <v>0</v>
      </c>
      <c r="J460" s="208">
        <f t="shared" si="263"/>
        <v>0</v>
      </c>
      <c r="K460" s="208">
        <f t="shared" si="264"/>
        <v>0</v>
      </c>
      <c r="L460" s="208">
        <f t="shared" si="265"/>
        <v>0</v>
      </c>
    </row>
    <row r="461" spans="1:12" ht="39.6" x14ac:dyDescent="0.25">
      <c r="A461" s="325" t="s">
        <v>868</v>
      </c>
      <c r="B461" s="330"/>
      <c r="C461" s="331"/>
      <c r="D461" s="325" t="s">
        <v>1184</v>
      </c>
      <c r="E461" s="332" t="s">
        <v>60</v>
      </c>
      <c r="F461" s="379">
        <v>35.4</v>
      </c>
      <c r="G461" s="208"/>
      <c r="H461" s="208"/>
      <c r="I461" s="208">
        <f t="shared" si="262"/>
        <v>0</v>
      </c>
      <c r="J461" s="208">
        <f t="shared" si="263"/>
        <v>0</v>
      </c>
      <c r="K461" s="208">
        <f t="shared" si="264"/>
        <v>0</v>
      </c>
      <c r="L461" s="208">
        <f t="shared" si="265"/>
        <v>0</v>
      </c>
    </row>
    <row r="462" spans="1:12" ht="39.6" x14ac:dyDescent="0.25">
      <c r="A462" s="325" t="s">
        <v>869</v>
      </c>
      <c r="B462" s="330"/>
      <c r="C462" s="331"/>
      <c r="D462" s="325" t="s">
        <v>1185</v>
      </c>
      <c r="E462" s="332" t="s">
        <v>60</v>
      </c>
      <c r="F462" s="379">
        <v>29.8</v>
      </c>
      <c r="G462" s="208"/>
      <c r="H462" s="208"/>
      <c r="I462" s="208">
        <f t="shared" si="262"/>
        <v>0</v>
      </c>
      <c r="J462" s="208">
        <f t="shared" si="263"/>
        <v>0</v>
      </c>
      <c r="K462" s="208">
        <f t="shared" si="264"/>
        <v>0</v>
      </c>
      <c r="L462" s="208">
        <f t="shared" si="265"/>
        <v>0</v>
      </c>
    </row>
    <row r="463" spans="1:12" ht="39.6" x14ac:dyDescent="0.25">
      <c r="A463" s="325" t="s">
        <v>315</v>
      </c>
      <c r="B463" s="330"/>
      <c r="C463" s="350"/>
      <c r="D463" s="351" t="s">
        <v>1186</v>
      </c>
      <c r="E463" s="332" t="s">
        <v>31</v>
      </c>
      <c r="F463" s="324">
        <v>1</v>
      </c>
      <c r="G463" s="212"/>
      <c r="H463" s="208"/>
      <c r="I463" s="208">
        <f t="shared" si="262"/>
        <v>0</v>
      </c>
      <c r="J463" s="208">
        <f t="shared" si="263"/>
        <v>0</v>
      </c>
      <c r="K463" s="208">
        <f t="shared" si="264"/>
        <v>0</v>
      </c>
      <c r="L463" s="208">
        <f t="shared" si="265"/>
        <v>0</v>
      </c>
    </row>
    <row r="464" spans="1:12" ht="39.6" x14ac:dyDescent="0.25">
      <c r="A464" s="325" t="s">
        <v>316</v>
      </c>
      <c r="B464" s="330"/>
      <c r="C464" s="350"/>
      <c r="D464" s="351" t="s">
        <v>860</v>
      </c>
      <c r="E464" s="332" t="s">
        <v>31</v>
      </c>
      <c r="F464" s="324">
        <v>12</v>
      </c>
      <c r="G464" s="212"/>
      <c r="H464" s="208"/>
      <c r="I464" s="208">
        <f t="shared" si="262"/>
        <v>0</v>
      </c>
      <c r="J464" s="208">
        <f t="shared" si="263"/>
        <v>0</v>
      </c>
      <c r="K464" s="208">
        <f t="shared" si="264"/>
        <v>0</v>
      </c>
      <c r="L464" s="208">
        <f t="shared" si="265"/>
        <v>0</v>
      </c>
    </row>
    <row r="465" spans="1:12" ht="39.6" x14ac:dyDescent="0.25">
      <c r="A465" s="325" t="s">
        <v>317</v>
      </c>
      <c r="B465" s="330"/>
      <c r="C465" s="331"/>
      <c r="D465" s="325" t="s">
        <v>861</v>
      </c>
      <c r="E465" s="332" t="s">
        <v>31</v>
      </c>
      <c r="F465" s="379">
        <v>1</v>
      </c>
      <c r="G465" s="208"/>
      <c r="H465" s="208"/>
      <c r="I465" s="208">
        <f t="shared" si="262"/>
        <v>0</v>
      </c>
      <c r="J465" s="208">
        <f t="shared" si="263"/>
        <v>0</v>
      </c>
      <c r="K465" s="208">
        <f t="shared" si="264"/>
        <v>0</v>
      </c>
      <c r="L465" s="208">
        <f t="shared" si="265"/>
        <v>0</v>
      </c>
    </row>
    <row r="466" spans="1:12" ht="39.6" x14ac:dyDescent="0.25">
      <c r="A466" s="325" t="s">
        <v>318</v>
      </c>
      <c r="B466" s="330"/>
      <c r="C466" s="331"/>
      <c r="D466" s="325" t="s">
        <v>1187</v>
      </c>
      <c r="E466" s="332" t="s">
        <v>31</v>
      </c>
      <c r="F466" s="379">
        <v>1</v>
      </c>
      <c r="G466" s="208"/>
      <c r="H466" s="208"/>
      <c r="I466" s="208">
        <f t="shared" si="262"/>
        <v>0</v>
      </c>
      <c r="J466" s="208">
        <f t="shared" si="263"/>
        <v>0</v>
      </c>
      <c r="K466" s="208">
        <f t="shared" si="264"/>
        <v>0</v>
      </c>
      <c r="L466" s="208">
        <f t="shared" si="265"/>
        <v>0</v>
      </c>
    </row>
    <row r="467" spans="1:12" ht="39.6" x14ac:dyDescent="0.25">
      <c r="A467" s="325" t="s">
        <v>320</v>
      </c>
      <c r="B467" s="388"/>
      <c r="C467" s="350"/>
      <c r="D467" s="351" t="s">
        <v>1188</v>
      </c>
      <c r="E467" s="352" t="s">
        <v>31</v>
      </c>
      <c r="F467" s="324">
        <v>4</v>
      </c>
      <c r="G467" s="212"/>
      <c r="H467" s="212"/>
      <c r="I467" s="208">
        <f t="shared" si="262"/>
        <v>0</v>
      </c>
      <c r="J467" s="208">
        <f t="shared" si="263"/>
        <v>0</v>
      </c>
      <c r="K467" s="208">
        <f t="shared" si="264"/>
        <v>0</v>
      </c>
      <c r="L467" s="208">
        <f t="shared" si="265"/>
        <v>0</v>
      </c>
    </row>
    <row r="468" spans="1:12" ht="39.6" x14ac:dyDescent="0.25">
      <c r="A468" s="325" t="s">
        <v>321</v>
      </c>
      <c r="B468" s="388"/>
      <c r="C468" s="350"/>
      <c r="D468" s="351" t="s">
        <v>1189</v>
      </c>
      <c r="E468" s="352" t="s">
        <v>31</v>
      </c>
      <c r="F468" s="324">
        <v>2</v>
      </c>
      <c r="G468" s="212"/>
      <c r="H468" s="212"/>
      <c r="I468" s="208">
        <f t="shared" si="262"/>
        <v>0</v>
      </c>
      <c r="J468" s="208">
        <f t="shared" si="263"/>
        <v>0</v>
      </c>
      <c r="K468" s="208">
        <f t="shared" si="264"/>
        <v>0</v>
      </c>
      <c r="L468" s="208">
        <f t="shared" si="265"/>
        <v>0</v>
      </c>
    </row>
    <row r="469" spans="1:12" ht="39.6" x14ac:dyDescent="0.25">
      <c r="A469" s="325" t="s">
        <v>322</v>
      </c>
      <c r="B469" s="388"/>
      <c r="C469" s="350"/>
      <c r="D469" s="351" t="s">
        <v>1190</v>
      </c>
      <c r="E469" s="352" t="s">
        <v>31</v>
      </c>
      <c r="F469" s="324">
        <v>1</v>
      </c>
      <c r="G469" s="212"/>
      <c r="H469" s="212"/>
      <c r="I469" s="208">
        <f t="shared" ref="I469:I472" si="266">TRUNC(SUM(G469:H469),2)</f>
        <v>0</v>
      </c>
      <c r="J469" s="208">
        <f t="shared" ref="J469:J472" si="267">TRUNC(F469*G469,2)</f>
        <v>0</v>
      </c>
      <c r="K469" s="208">
        <f t="shared" ref="K469:K472" si="268">TRUNC(F469*H469,2)</f>
        <v>0</v>
      </c>
      <c r="L469" s="208">
        <f t="shared" ref="L469:L472" si="269">TRUNC(SUM(J469,K469),2)</f>
        <v>0</v>
      </c>
    </row>
    <row r="470" spans="1:12" ht="39.6" x14ac:dyDescent="0.25">
      <c r="A470" s="325" t="s">
        <v>870</v>
      </c>
      <c r="B470" s="354"/>
      <c r="C470" s="361"/>
      <c r="D470" s="362" t="s">
        <v>1191</v>
      </c>
      <c r="E470" s="361" t="s">
        <v>31</v>
      </c>
      <c r="F470" s="378">
        <v>1</v>
      </c>
      <c r="G470" s="212"/>
      <c r="H470" s="212"/>
      <c r="I470" s="208">
        <f t="shared" si="266"/>
        <v>0</v>
      </c>
      <c r="J470" s="208">
        <f t="shared" si="267"/>
        <v>0</v>
      </c>
      <c r="K470" s="208">
        <f t="shared" si="268"/>
        <v>0</v>
      </c>
      <c r="L470" s="208">
        <f t="shared" si="269"/>
        <v>0</v>
      </c>
    </row>
    <row r="471" spans="1:12" ht="26.25" customHeight="1" x14ac:dyDescent="0.25">
      <c r="A471" s="325" t="s">
        <v>871</v>
      </c>
      <c r="B471" s="354"/>
      <c r="C471" s="361"/>
      <c r="D471" s="342" t="s">
        <v>1192</v>
      </c>
      <c r="E471" s="345" t="s">
        <v>31</v>
      </c>
      <c r="F471" s="346">
        <v>1</v>
      </c>
      <c r="G471" s="208"/>
      <c r="H471" s="208"/>
      <c r="I471" s="208">
        <f>TRUNC(SUM(G471:H471),2)</f>
        <v>0</v>
      </c>
      <c r="J471" s="208">
        <f>TRUNC(F471*G471,2)</f>
        <v>0</v>
      </c>
      <c r="K471" s="208">
        <f>TRUNC(F471*H471,2)</f>
        <v>0</v>
      </c>
      <c r="L471" s="208">
        <f>TRUNC(SUM(J471,K471),2)</f>
        <v>0</v>
      </c>
    </row>
    <row r="472" spans="1:12" ht="39.6" x14ac:dyDescent="0.25">
      <c r="A472" s="325" t="s">
        <v>872</v>
      </c>
      <c r="B472" s="388"/>
      <c r="C472" s="350"/>
      <c r="D472" s="351" t="s">
        <v>1194</v>
      </c>
      <c r="E472" s="352" t="s">
        <v>31</v>
      </c>
      <c r="F472" s="324">
        <v>1</v>
      </c>
      <c r="G472" s="212"/>
      <c r="H472" s="212"/>
      <c r="I472" s="208">
        <f t="shared" si="266"/>
        <v>0</v>
      </c>
      <c r="J472" s="208">
        <f t="shared" si="267"/>
        <v>0</v>
      </c>
      <c r="K472" s="208">
        <f t="shared" si="268"/>
        <v>0</v>
      </c>
      <c r="L472" s="208">
        <f t="shared" si="269"/>
        <v>0</v>
      </c>
    </row>
    <row r="473" spans="1:12" ht="39.6" x14ac:dyDescent="0.25">
      <c r="A473" s="325" t="s">
        <v>873</v>
      </c>
      <c r="B473" s="388"/>
      <c r="C473" s="350"/>
      <c r="D473" s="351" t="s">
        <v>1196</v>
      </c>
      <c r="E473" s="352" t="s">
        <v>31</v>
      </c>
      <c r="F473" s="324">
        <v>1</v>
      </c>
      <c r="G473" s="212"/>
      <c r="H473" s="212"/>
      <c r="I473" s="208">
        <f>TRUNC(SUM(G473:H473),2)</f>
        <v>0</v>
      </c>
      <c r="J473" s="208">
        <f>TRUNC(F473*G473,2)</f>
        <v>0</v>
      </c>
      <c r="K473" s="208">
        <f>TRUNC(F473*H473,2)</f>
        <v>0</v>
      </c>
      <c r="L473" s="208">
        <f>TRUNC(SUM(J473,K473),2)</f>
        <v>0</v>
      </c>
    </row>
    <row r="474" spans="1:12" ht="39.6" x14ac:dyDescent="0.25">
      <c r="A474" s="325" t="s">
        <v>874</v>
      </c>
      <c r="B474" s="388"/>
      <c r="C474" s="350"/>
      <c r="D474" s="351" t="s">
        <v>1193</v>
      </c>
      <c r="E474" s="352" t="s">
        <v>31</v>
      </c>
      <c r="F474" s="324">
        <v>1</v>
      </c>
      <c r="G474" s="212"/>
      <c r="H474" s="212"/>
      <c r="I474" s="208">
        <f>TRUNC(SUM(G474:H474),2)</f>
        <v>0</v>
      </c>
      <c r="J474" s="208">
        <f>TRUNC(F474*G474,2)</f>
        <v>0</v>
      </c>
      <c r="K474" s="208">
        <f>TRUNC(F474*H474,2)</f>
        <v>0</v>
      </c>
      <c r="L474" s="208">
        <f>TRUNC(SUM(J474,K474),2)</f>
        <v>0</v>
      </c>
    </row>
    <row r="475" spans="1:12" ht="39.6" x14ac:dyDescent="0.25">
      <c r="A475" s="325" t="s">
        <v>1203</v>
      </c>
      <c r="B475" s="388"/>
      <c r="C475" s="350"/>
      <c r="D475" s="351" t="s">
        <v>1195</v>
      </c>
      <c r="E475" s="352" t="s">
        <v>31</v>
      </c>
      <c r="F475" s="324">
        <v>1</v>
      </c>
      <c r="G475" s="212"/>
      <c r="H475" s="212"/>
      <c r="I475" s="208">
        <f t="shared" ref="I475:I491" si="270">TRUNC(SUM(G475:H475),2)</f>
        <v>0</v>
      </c>
      <c r="J475" s="208">
        <f t="shared" ref="J475:J491" si="271">TRUNC(F475*G475,2)</f>
        <v>0</v>
      </c>
      <c r="K475" s="208">
        <f t="shared" ref="K475:K491" si="272">TRUNC(F475*H475,2)</f>
        <v>0</v>
      </c>
      <c r="L475" s="208">
        <f t="shared" ref="L475:L491" si="273">TRUNC(SUM(J475,K475),2)</f>
        <v>0</v>
      </c>
    </row>
    <row r="476" spans="1:12" ht="39.6" x14ac:dyDescent="0.25">
      <c r="A476" s="325" t="s">
        <v>1204</v>
      </c>
      <c r="B476" s="388"/>
      <c r="C476" s="350"/>
      <c r="D476" s="351" t="s">
        <v>1197</v>
      </c>
      <c r="E476" s="352" t="s">
        <v>31</v>
      </c>
      <c r="F476" s="324">
        <v>1</v>
      </c>
      <c r="G476" s="212"/>
      <c r="H476" s="212"/>
      <c r="I476" s="208">
        <f t="shared" si="270"/>
        <v>0</v>
      </c>
      <c r="J476" s="208">
        <f t="shared" si="271"/>
        <v>0</v>
      </c>
      <c r="K476" s="208">
        <f t="shared" si="272"/>
        <v>0</v>
      </c>
      <c r="L476" s="208">
        <f t="shared" si="273"/>
        <v>0</v>
      </c>
    </row>
    <row r="477" spans="1:12" ht="39.6" x14ac:dyDescent="0.25">
      <c r="A477" s="325" t="s">
        <v>1205</v>
      </c>
      <c r="B477" s="388"/>
      <c r="C477" s="350"/>
      <c r="D477" s="351" t="s">
        <v>1198</v>
      </c>
      <c r="E477" s="352" t="s">
        <v>31</v>
      </c>
      <c r="F477" s="324">
        <v>1</v>
      </c>
      <c r="G477" s="212"/>
      <c r="H477" s="212"/>
      <c r="I477" s="208">
        <f t="shared" si="270"/>
        <v>0</v>
      </c>
      <c r="J477" s="208">
        <f t="shared" si="271"/>
        <v>0</v>
      </c>
      <c r="K477" s="208">
        <f t="shared" si="272"/>
        <v>0</v>
      </c>
      <c r="L477" s="208">
        <f t="shared" si="273"/>
        <v>0</v>
      </c>
    </row>
    <row r="478" spans="1:12" ht="39.6" x14ac:dyDescent="0.25">
      <c r="A478" s="325" t="s">
        <v>1206</v>
      </c>
      <c r="B478" s="388"/>
      <c r="C478" s="350"/>
      <c r="D478" s="351" t="s">
        <v>1199</v>
      </c>
      <c r="E478" s="352" t="s">
        <v>31</v>
      </c>
      <c r="F478" s="324">
        <v>1</v>
      </c>
      <c r="G478" s="212"/>
      <c r="H478" s="212"/>
      <c r="I478" s="208">
        <f t="shared" si="270"/>
        <v>0</v>
      </c>
      <c r="J478" s="208">
        <f t="shared" si="271"/>
        <v>0</v>
      </c>
      <c r="K478" s="208">
        <f t="shared" si="272"/>
        <v>0</v>
      </c>
      <c r="L478" s="208">
        <f t="shared" si="273"/>
        <v>0</v>
      </c>
    </row>
    <row r="479" spans="1:12" ht="39.6" x14ac:dyDescent="0.25">
      <c r="A479" s="325" t="s">
        <v>1207</v>
      </c>
      <c r="B479" s="388"/>
      <c r="C479" s="350"/>
      <c r="D479" s="351" t="s">
        <v>1200</v>
      </c>
      <c r="E479" s="352" t="s">
        <v>31</v>
      </c>
      <c r="F479" s="324">
        <v>1</v>
      </c>
      <c r="G479" s="212"/>
      <c r="H479" s="212"/>
      <c r="I479" s="208">
        <f t="shared" si="270"/>
        <v>0</v>
      </c>
      <c r="J479" s="208">
        <f t="shared" si="271"/>
        <v>0</v>
      </c>
      <c r="K479" s="208">
        <f t="shared" si="272"/>
        <v>0</v>
      </c>
      <c r="L479" s="208">
        <f t="shared" si="273"/>
        <v>0</v>
      </c>
    </row>
    <row r="480" spans="1:12" ht="26.4" x14ac:dyDescent="0.25">
      <c r="A480" s="325" t="s">
        <v>1208</v>
      </c>
      <c r="B480" s="388"/>
      <c r="C480" s="350"/>
      <c r="D480" s="351" t="s">
        <v>862</v>
      </c>
      <c r="E480" s="352" t="s">
        <v>31</v>
      </c>
      <c r="F480" s="324">
        <v>7</v>
      </c>
      <c r="G480" s="212"/>
      <c r="H480" s="212"/>
      <c r="I480" s="208">
        <f t="shared" si="270"/>
        <v>0</v>
      </c>
      <c r="J480" s="208">
        <f t="shared" si="271"/>
        <v>0</v>
      </c>
      <c r="K480" s="208">
        <f t="shared" si="272"/>
        <v>0</v>
      </c>
      <c r="L480" s="208">
        <f t="shared" si="273"/>
        <v>0</v>
      </c>
    </row>
    <row r="481" spans="1:12" ht="26.4" x14ac:dyDescent="0.25">
      <c r="A481" s="325" t="s">
        <v>1209</v>
      </c>
      <c r="B481" s="388"/>
      <c r="C481" s="350"/>
      <c r="D481" s="351" t="s">
        <v>1201</v>
      </c>
      <c r="E481" s="352" t="s">
        <v>31</v>
      </c>
      <c r="F481" s="324">
        <v>2</v>
      </c>
      <c r="G481" s="212"/>
      <c r="H481" s="212"/>
      <c r="I481" s="208">
        <f t="shared" si="270"/>
        <v>0</v>
      </c>
      <c r="J481" s="208">
        <f t="shared" si="271"/>
        <v>0</v>
      </c>
      <c r="K481" s="208">
        <f t="shared" si="272"/>
        <v>0</v>
      </c>
      <c r="L481" s="208">
        <f t="shared" si="273"/>
        <v>0</v>
      </c>
    </row>
    <row r="482" spans="1:12" ht="26.4" x14ac:dyDescent="0.25">
      <c r="A482" s="325" t="s">
        <v>1210</v>
      </c>
      <c r="B482" s="388"/>
      <c r="C482" s="350"/>
      <c r="D482" s="351" t="s">
        <v>863</v>
      </c>
      <c r="E482" s="352" t="s">
        <v>31</v>
      </c>
      <c r="F482" s="324">
        <v>1</v>
      </c>
      <c r="G482" s="212"/>
      <c r="H482" s="212"/>
      <c r="I482" s="208">
        <f t="shared" si="270"/>
        <v>0</v>
      </c>
      <c r="J482" s="208">
        <f t="shared" si="271"/>
        <v>0</v>
      </c>
      <c r="K482" s="208">
        <f t="shared" si="272"/>
        <v>0</v>
      </c>
      <c r="L482" s="208">
        <f t="shared" si="273"/>
        <v>0</v>
      </c>
    </row>
    <row r="483" spans="1:12" ht="39.6" x14ac:dyDescent="0.25">
      <c r="A483" s="325" t="s">
        <v>1211</v>
      </c>
      <c r="B483" s="388"/>
      <c r="C483" s="350"/>
      <c r="D483" s="351" t="s">
        <v>877</v>
      </c>
      <c r="E483" s="352" t="s">
        <v>31</v>
      </c>
      <c r="F483" s="324">
        <v>2</v>
      </c>
      <c r="G483" s="212"/>
      <c r="H483" s="212"/>
      <c r="I483" s="208">
        <f t="shared" si="270"/>
        <v>0</v>
      </c>
      <c r="J483" s="208">
        <f t="shared" si="271"/>
        <v>0</v>
      </c>
      <c r="K483" s="208">
        <f t="shared" si="272"/>
        <v>0</v>
      </c>
      <c r="L483" s="208">
        <f t="shared" si="273"/>
        <v>0</v>
      </c>
    </row>
    <row r="484" spans="1:12" ht="26.4" x14ac:dyDescent="0.25">
      <c r="A484" s="325" t="s">
        <v>1212</v>
      </c>
      <c r="B484" s="388"/>
      <c r="C484" s="350"/>
      <c r="D484" s="351" t="s">
        <v>1222</v>
      </c>
      <c r="E484" s="352" t="s">
        <v>31</v>
      </c>
      <c r="F484" s="324">
        <v>1</v>
      </c>
      <c r="G484" s="212"/>
      <c r="H484" s="212"/>
      <c r="I484" s="208">
        <f t="shared" ref="I484:I487" si="274">TRUNC(SUM(G484:H484),2)</f>
        <v>0</v>
      </c>
      <c r="J484" s="208">
        <f t="shared" ref="J484:J487" si="275">TRUNC(F484*G484,2)</f>
        <v>0</v>
      </c>
      <c r="K484" s="208">
        <f t="shared" ref="K484:K487" si="276">TRUNC(F484*H484,2)</f>
        <v>0</v>
      </c>
      <c r="L484" s="208">
        <f t="shared" ref="L484:L487" si="277">TRUNC(SUM(J484,K484),2)</f>
        <v>0</v>
      </c>
    </row>
    <row r="485" spans="1:12" ht="26.4" x14ac:dyDescent="0.25">
      <c r="A485" s="325" t="s">
        <v>1213</v>
      </c>
      <c r="B485" s="388"/>
      <c r="C485" s="350"/>
      <c r="D485" s="351" t="s">
        <v>1223</v>
      </c>
      <c r="E485" s="352" t="s">
        <v>31</v>
      </c>
      <c r="F485" s="324">
        <v>1</v>
      </c>
      <c r="G485" s="212"/>
      <c r="H485" s="212"/>
      <c r="I485" s="208">
        <f t="shared" si="274"/>
        <v>0</v>
      </c>
      <c r="J485" s="208">
        <f t="shared" si="275"/>
        <v>0</v>
      </c>
      <c r="K485" s="208">
        <f t="shared" si="276"/>
        <v>0</v>
      </c>
      <c r="L485" s="208">
        <f t="shared" si="277"/>
        <v>0</v>
      </c>
    </row>
    <row r="486" spans="1:12" ht="26.4" x14ac:dyDescent="0.25">
      <c r="A486" s="325" t="s">
        <v>1214</v>
      </c>
      <c r="B486" s="388"/>
      <c r="C486" s="350"/>
      <c r="D486" s="351" t="s">
        <v>1224</v>
      </c>
      <c r="E486" s="352" t="s">
        <v>31</v>
      </c>
      <c r="F486" s="324">
        <v>1</v>
      </c>
      <c r="G486" s="212"/>
      <c r="H486" s="212"/>
      <c r="I486" s="208">
        <f t="shared" si="274"/>
        <v>0</v>
      </c>
      <c r="J486" s="208">
        <f t="shared" si="275"/>
        <v>0</v>
      </c>
      <c r="K486" s="208">
        <f t="shared" si="276"/>
        <v>0</v>
      </c>
      <c r="L486" s="208">
        <f t="shared" si="277"/>
        <v>0</v>
      </c>
    </row>
    <row r="487" spans="1:12" ht="26.4" x14ac:dyDescent="0.25">
      <c r="A487" s="325" t="s">
        <v>1215</v>
      </c>
      <c r="B487" s="388"/>
      <c r="C487" s="350"/>
      <c r="D487" s="351" t="s">
        <v>1225</v>
      </c>
      <c r="E487" s="352" t="s">
        <v>31</v>
      </c>
      <c r="F487" s="324">
        <v>1</v>
      </c>
      <c r="G487" s="212"/>
      <c r="H487" s="212"/>
      <c r="I487" s="208">
        <f t="shared" si="274"/>
        <v>0</v>
      </c>
      <c r="J487" s="208">
        <f t="shared" si="275"/>
        <v>0</v>
      </c>
      <c r="K487" s="208">
        <f t="shared" si="276"/>
        <v>0</v>
      </c>
      <c r="L487" s="208">
        <f t="shared" si="277"/>
        <v>0</v>
      </c>
    </row>
    <row r="488" spans="1:12" ht="26.4" x14ac:dyDescent="0.25">
      <c r="A488" s="325" t="s">
        <v>1226</v>
      </c>
      <c r="B488" s="388"/>
      <c r="C488" s="350"/>
      <c r="D488" s="351" t="s">
        <v>864</v>
      </c>
      <c r="E488" s="352" t="s">
        <v>17</v>
      </c>
      <c r="F488" s="324">
        <v>0.1</v>
      </c>
      <c r="G488" s="212"/>
      <c r="H488" s="212"/>
      <c r="I488" s="208">
        <f t="shared" si="270"/>
        <v>0</v>
      </c>
      <c r="J488" s="208">
        <f t="shared" si="271"/>
        <v>0</v>
      </c>
      <c r="K488" s="208">
        <f t="shared" si="272"/>
        <v>0</v>
      </c>
      <c r="L488" s="208">
        <f t="shared" si="273"/>
        <v>0</v>
      </c>
    </row>
    <row r="489" spans="1:12" x14ac:dyDescent="0.25">
      <c r="A489" s="325" t="s">
        <v>1227</v>
      </c>
      <c r="B489" s="388"/>
      <c r="C489" s="350"/>
      <c r="D489" s="351" t="s">
        <v>319</v>
      </c>
      <c r="E489" s="352" t="s">
        <v>58</v>
      </c>
      <c r="F489" s="324">
        <v>0.03</v>
      </c>
      <c r="G489" s="212"/>
      <c r="H489" s="212"/>
      <c r="I489" s="208">
        <f t="shared" si="270"/>
        <v>0</v>
      </c>
      <c r="J489" s="208">
        <f t="shared" si="271"/>
        <v>0</v>
      </c>
      <c r="K489" s="208">
        <f t="shared" si="272"/>
        <v>0</v>
      </c>
      <c r="L489" s="208">
        <f t="shared" si="273"/>
        <v>0</v>
      </c>
    </row>
    <row r="490" spans="1:12" ht="26.4" x14ac:dyDescent="0.25">
      <c r="A490" s="325" t="s">
        <v>1228</v>
      </c>
      <c r="B490" s="388"/>
      <c r="C490" s="350"/>
      <c r="D490" s="351" t="s">
        <v>72</v>
      </c>
      <c r="E490" s="352" t="s">
        <v>58</v>
      </c>
      <c r="F490" s="324">
        <v>0.03</v>
      </c>
      <c r="G490" s="212"/>
      <c r="H490" s="212"/>
      <c r="I490" s="208">
        <f t="shared" si="270"/>
        <v>0</v>
      </c>
      <c r="J490" s="208">
        <f t="shared" si="271"/>
        <v>0</v>
      </c>
      <c r="K490" s="208">
        <f t="shared" si="272"/>
        <v>0</v>
      </c>
      <c r="L490" s="208">
        <f t="shared" si="273"/>
        <v>0</v>
      </c>
    </row>
    <row r="491" spans="1:12" ht="26.4" x14ac:dyDescent="0.25">
      <c r="A491" s="325" t="s">
        <v>1229</v>
      </c>
      <c r="B491" s="388"/>
      <c r="C491" s="350"/>
      <c r="D491" s="351" t="s">
        <v>1202</v>
      </c>
      <c r="E491" s="352" t="s">
        <v>17</v>
      </c>
      <c r="F491" s="324">
        <v>14.18</v>
      </c>
      <c r="G491" s="212"/>
      <c r="H491" s="212"/>
      <c r="I491" s="208">
        <f t="shared" si="270"/>
        <v>0</v>
      </c>
      <c r="J491" s="208">
        <f t="shared" si="271"/>
        <v>0</v>
      </c>
      <c r="K491" s="208">
        <f t="shared" si="272"/>
        <v>0</v>
      </c>
      <c r="L491" s="208">
        <f t="shared" si="273"/>
        <v>0</v>
      </c>
    </row>
    <row r="492" spans="1:12" x14ac:dyDescent="0.25">
      <c r="A492" s="364"/>
      <c r="B492" s="365"/>
      <c r="C492" s="366"/>
      <c r="D492" s="367" t="s">
        <v>324</v>
      </c>
      <c r="E492" s="368" t="s">
        <v>325</v>
      </c>
      <c r="F492" s="369"/>
      <c r="G492" s="370"/>
      <c r="H492" s="370"/>
      <c r="I492" s="370"/>
      <c r="J492" s="371">
        <f>SUM(J448:J491)</f>
        <v>0</v>
      </c>
      <c r="K492" s="371">
        <f>SUM(K448:K491)</f>
        <v>0</v>
      </c>
      <c r="L492" s="370"/>
    </row>
    <row r="493" spans="1:12" x14ac:dyDescent="0.25">
      <c r="A493" s="372"/>
      <c r="B493" s="373"/>
      <c r="C493" s="373"/>
      <c r="D493" s="372" t="s">
        <v>325</v>
      </c>
      <c r="E493" s="373" t="s">
        <v>325</v>
      </c>
      <c r="F493" s="374"/>
      <c r="G493" s="375"/>
      <c r="H493" s="375"/>
      <c r="I493" s="375"/>
      <c r="J493" s="376"/>
      <c r="K493" s="376">
        <f>SUM(J492:K492)</f>
        <v>0</v>
      </c>
      <c r="L493" s="375"/>
    </row>
    <row r="494" spans="1:12" x14ac:dyDescent="0.25">
      <c r="A494" s="206">
        <v>15</v>
      </c>
      <c r="B494" s="335"/>
      <c r="C494" s="335"/>
      <c r="D494" s="206" t="s">
        <v>720</v>
      </c>
      <c r="E494" s="206"/>
      <c r="F494" s="377"/>
      <c r="G494" s="210"/>
      <c r="H494" s="210"/>
      <c r="I494" s="210"/>
      <c r="J494" s="210"/>
      <c r="K494" s="210"/>
      <c r="L494" s="337">
        <f>SUM(L495:L497)</f>
        <v>0</v>
      </c>
    </row>
    <row r="495" spans="1:12" s="347" customFormat="1" ht="26.4" x14ac:dyDescent="0.25">
      <c r="A495" s="342" t="s">
        <v>721</v>
      </c>
      <c r="B495" s="343"/>
      <c r="C495" s="344"/>
      <c r="D495" s="342" t="s">
        <v>248</v>
      </c>
      <c r="E495" s="345" t="s">
        <v>89</v>
      </c>
      <c r="F495" s="346">
        <v>24</v>
      </c>
      <c r="G495" s="327"/>
      <c r="H495" s="327"/>
      <c r="I495" s="327">
        <f t="shared" ref="I495:I497" si="278">TRUNC(SUM(G495:H495),2)</f>
        <v>0</v>
      </c>
      <c r="J495" s="327">
        <f t="shared" ref="J495:J497" si="279">TRUNC(F495*G495,2)</f>
        <v>0</v>
      </c>
      <c r="K495" s="327">
        <f t="shared" ref="K495:K497" si="280">TRUNC(F495*H495,2)</f>
        <v>0</v>
      </c>
      <c r="L495" s="327">
        <f t="shared" ref="L495:L497" si="281">TRUNC(SUM(J495,K495),2)</f>
        <v>0</v>
      </c>
    </row>
    <row r="496" spans="1:12" s="347" customFormat="1" ht="39.6" x14ac:dyDescent="0.25">
      <c r="A496" s="342" t="s">
        <v>722</v>
      </c>
      <c r="B496" s="343"/>
      <c r="C496" s="344"/>
      <c r="D496" s="342" t="s">
        <v>249</v>
      </c>
      <c r="E496" s="345" t="s">
        <v>17</v>
      </c>
      <c r="F496" s="346">
        <v>6.04</v>
      </c>
      <c r="G496" s="327"/>
      <c r="H496" s="327"/>
      <c r="I496" s="327">
        <f t="shared" si="278"/>
        <v>0</v>
      </c>
      <c r="J496" s="327">
        <f t="shared" si="279"/>
        <v>0</v>
      </c>
      <c r="K496" s="327">
        <f t="shared" si="280"/>
        <v>0</v>
      </c>
      <c r="L496" s="327">
        <f t="shared" si="281"/>
        <v>0</v>
      </c>
    </row>
    <row r="497" spans="1:12" s="347" customFormat="1" ht="39.6" x14ac:dyDescent="0.25">
      <c r="A497" s="342" t="s">
        <v>723</v>
      </c>
      <c r="B497" s="343"/>
      <c r="C497" s="344"/>
      <c r="D497" s="342" t="s">
        <v>250</v>
      </c>
      <c r="E497" s="345" t="s">
        <v>17</v>
      </c>
      <c r="F497" s="346">
        <f>F496</f>
        <v>6.04</v>
      </c>
      <c r="G497" s="327"/>
      <c r="H497" s="327"/>
      <c r="I497" s="327">
        <f t="shared" si="278"/>
        <v>0</v>
      </c>
      <c r="J497" s="327">
        <f t="shared" si="279"/>
        <v>0</v>
      </c>
      <c r="K497" s="327">
        <f t="shared" si="280"/>
        <v>0</v>
      </c>
      <c r="L497" s="327">
        <f t="shared" si="281"/>
        <v>0</v>
      </c>
    </row>
    <row r="498" spans="1:12" x14ac:dyDescent="0.25">
      <c r="A498" s="364"/>
      <c r="B498" s="365"/>
      <c r="C498" s="366"/>
      <c r="D498" s="367" t="s">
        <v>324</v>
      </c>
      <c r="E498" s="368" t="s">
        <v>325</v>
      </c>
      <c r="F498" s="369"/>
      <c r="G498" s="370"/>
      <c r="H498" s="370"/>
      <c r="I498" s="370"/>
      <c r="J498" s="371">
        <f>SUM(J495:J497)</f>
        <v>0</v>
      </c>
      <c r="K498" s="371">
        <f>SUM(K495:K497)</f>
        <v>0</v>
      </c>
      <c r="L498" s="370"/>
    </row>
    <row r="499" spans="1:12" x14ac:dyDescent="0.25">
      <c r="A499" s="372"/>
      <c r="B499" s="373"/>
      <c r="C499" s="373"/>
      <c r="D499" s="372" t="s">
        <v>325</v>
      </c>
      <c r="E499" s="373" t="s">
        <v>325</v>
      </c>
      <c r="F499" s="374"/>
      <c r="G499" s="375"/>
      <c r="H499" s="375"/>
      <c r="I499" s="375"/>
      <c r="J499" s="376"/>
      <c r="K499" s="376">
        <f>SUM(J498:K498)</f>
        <v>0</v>
      </c>
      <c r="L499" s="375"/>
    </row>
    <row r="500" spans="1:12" x14ac:dyDescent="0.25">
      <c r="A500" s="206">
        <v>16</v>
      </c>
      <c r="B500" s="335"/>
      <c r="C500" s="335"/>
      <c r="D500" s="206" t="s">
        <v>251</v>
      </c>
      <c r="E500" s="206"/>
      <c r="F500" s="377"/>
      <c r="G500" s="210"/>
      <c r="H500" s="210"/>
      <c r="I500" s="210"/>
      <c r="J500" s="210"/>
      <c r="K500" s="210"/>
      <c r="L500" s="337">
        <f>L501+L507+L512+L516+L542</f>
        <v>0</v>
      </c>
    </row>
    <row r="501" spans="1:12" s="341" customFormat="1" x14ac:dyDescent="0.25">
      <c r="A501" s="389" t="s">
        <v>724</v>
      </c>
      <c r="B501" s="389"/>
      <c r="C501" s="389"/>
      <c r="D501" s="389" t="s">
        <v>323</v>
      </c>
      <c r="E501" s="389"/>
      <c r="F501" s="390"/>
      <c r="G501" s="213"/>
      <c r="H501" s="213"/>
      <c r="I501" s="213"/>
      <c r="J501" s="213"/>
      <c r="K501" s="213"/>
      <c r="L501" s="391">
        <f>SUM(L502:L506)</f>
        <v>0</v>
      </c>
    </row>
    <row r="502" spans="1:12" s="347" customFormat="1" ht="26.4" x14ac:dyDescent="0.25">
      <c r="A502" s="362" t="s">
        <v>725</v>
      </c>
      <c r="B502" s="361"/>
      <c r="C502" s="361"/>
      <c r="D502" s="362" t="s">
        <v>465</v>
      </c>
      <c r="E502" s="361" t="s">
        <v>217</v>
      </c>
      <c r="F502" s="346">
        <v>7</v>
      </c>
      <c r="G502" s="327"/>
      <c r="H502" s="327"/>
      <c r="I502" s="327">
        <f t="shared" ref="I502:I504" si="282">TRUNC(SUM(G502:H502),2)</f>
        <v>0</v>
      </c>
      <c r="J502" s="327">
        <f t="shared" ref="J502:J504" si="283">TRUNC(F502*G502,2)</f>
        <v>0</v>
      </c>
      <c r="K502" s="327">
        <f t="shared" ref="K502:K504" si="284">TRUNC(F502*H502,2)</f>
        <v>0</v>
      </c>
      <c r="L502" s="327">
        <f t="shared" ref="L502:L504" si="285">TRUNC(SUM(J502,K502),2)</f>
        <v>0</v>
      </c>
    </row>
    <row r="503" spans="1:12" s="347" customFormat="1" ht="26.4" x14ac:dyDescent="0.25">
      <c r="A503" s="362" t="s">
        <v>726</v>
      </c>
      <c r="B503" s="361"/>
      <c r="C503" s="361"/>
      <c r="D503" s="362" t="s">
        <v>466</v>
      </c>
      <c r="E503" s="361" t="s">
        <v>217</v>
      </c>
      <c r="F503" s="346">
        <v>2</v>
      </c>
      <c r="G503" s="327"/>
      <c r="H503" s="327"/>
      <c r="I503" s="327">
        <f t="shared" si="282"/>
        <v>0</v>
      </c>
      <c r="J503" s="327">
        <f t="shared" si="283"/>
        <v>0</v>
      </c>
      <c r="K503" s="327">
        <f t="shared" si="284"/>
        <v>0</v>
      </c>
      <c r="L503" s="327">
        <f t="shared" si="285"/>
        <v>0</v>
      </c>
    </row>
    <row r="504" spans="1:12" s="347" customFormat="1" x14ac:dyDescent="0.25">
      <c r="A504" s="362" t="s">
        <v>727</v>
      </c>
      <c r="B504" s="361"/>
      <c r="C504" s="361"/>
      <c r="D504" s="362" t="s">
        <v>642</v>
      </c>
      <c r="E504" s="361" t="s">
        <v>217</v>
      </c>
      <c r="F504" s="346">
        <v>4</v>
      </c>
      <c r="G504" s="327"/>
      <c r="H504" s="327"/>
      <c r="I504" s="327">
        <f t="shared" si="282"/>
        <v>0</v>
      </c>
      <c r="J504" s="327">
        <f t="shared" si="283"/>
        <v>0</v>
      </c>
      <c r="K504" s="327">
        <f t="shared" si="284"/>
        <v>0</v>
      </c>
      <c r="L504" s="327">
        <f t="shared" si="285"/>
        <v>0</v>
      </c>
    </row>
    <row r="505" spans="1:12" s="347" customFormat="1" x14ac:dyDescent="0.25">
      <c r="A505" s="362" t="s">
        <v>728</v>
      </c>
      <c r="B505" s="361"/>
      <c r="C505" s="361"/>
      <c r="D505" s="362" t="s">
        <v>984</v>
      </c>
      <c r="E505" s="361" t="s">
        <v>217</v>
      </c>
      <c r="F505" s="378">
        <v>2</v>
      </c>
      <c r="G505" s="328"/>
      <c r="H505" s="328"/>
      <c r="I505" s="327">
        <f t="shared" ref="I505:I506" si="286">TRUNC(SUM(G505:H505),2)</f>
        <v>0</v>
      </c>
      <c r="J505" s="327">
        <f t="shared" ref="J505:J506" si="287">TRUNC(F505*G505,2)</f>
        <v>0</v>
      </c>
      <c r="K505" s="327">
        <f t="shared" ref="K505:K506" si="288">TRUNC(F505*H505,2)</f>
        <v>0</v>
      </c>
      <c r="L505" s="327">
        <f t="shared" ref="L505:L506" si="289">TRUNC(SUM(J505,K505),2)</f>
        <v>0</v>
      </c>
    </row>
    <row r="506" spans="1:12" s="347" customFormat="1" x14ac:dyDescent="0.25">
      <c r="A506" s="362" t="s">
        <v>729</v>
      </c>
      <c r="B506" s="361"/>
      <c r="C506" s="361"/>
      <c r="D506" s="362" t="s">
        <v>657</v>
      </c>
      <c r="E506" s="361" t="s">
        <v>217</v>
      </c>
      <c r="F506" s="378">
        <v>3</v>
      </c>
      <c r="G506" s="328"/>
      <c r="H506" s="328"/>
      <c r="I506" s="327">
        <f t="shared" si="286"/>
        <v>0</v>
      </c>
      <c r="J506" s="328">
        <f t="shared" si="287"/>
        <v>0</v>
      </c>
      <c r="K506" s="328">
        <f t="shared" si="288"/>
        <v>0</v>
      </c>
      <c r="L506" s="328">
        <f t="shared" si="289"/>
        <v>0</v>
      </c>
    </row>
    <row r="507" spans="1:12" s="341" customFormat="1" x14ac:dyDescent="0.25">
      <c r="A507" s="389" t="s">
        <v>730</v>
      </c>
      <c r="B507" s="389"/>
      <c r="C507" s="389"/>
      <c r="D507" s="389" t="s">
        <v>467</v>
      </c>
      <c r="E507" s="389"/>
      <c r="F507" s="390"/>
      <c r="G507" s="213"/>
      <c r="H507" s="213"/>
      <c r="I507" s="213"/>
      <c r="J507" s="213"/>
      <c r="K507" s="213"/>
      <c r="L507" s="391">
        <f>SUM(L508:L511)</f>
        <v>0</v>
      </c>
    </row>
    <row r="508" spans="1:12" s="347" customFormat="1" ht="24.75" customHeight="1" x14ac:dyDescent="0.25">
      <c r="A508" s="362" t="s">
        <v>731</v>
      </c>
      <c r="B508" s="361"/>
      <c r="C508" s="361"/>
      <c r="D508" s="362" t="s">
        <v>406</v>
      </c>
      <c r="E508" s="361" t="s">
        <v>217</v>
      </c>
      <c r="F508" s="346">
        <v>4</v>
      </c>
      <c r="G508" s="327"/>
      <c r="H508" s="327"/>
      <c r="I508" s="327">
        <f t="shared" ref="I508:I511" si="290">TRUNC(SUM(G508:H508),2)</f>
        <v>0</v>
      </c>
      <c r="J508" s="327">
        <f t="shared" ref="J508:J511" si="291">TRUNC(F508*G508,2)</f>
        <v>0</v>
      </c>
      <c r="K508" s="327">
        <f t="shared" ref="K508:K511" si="292">TRUNC(F508*H508,2)</f>
        <v>0</v>
      </c>
      <c r="L508" s="327">
        <f t="shared" ref="L508:L511" si="293">TRUNC(SUM(J508,K508),2)</f>
        <v>0</v>
      </c>
    </row>
    <row r="509" spans="1:12" s="347" customFormat="1" ht="26.25" customHeight="1" x14ac:dyDescent="0.25">
      <c r="A509" s="362" t="s">
        <v>732</v>
      </c>
      <c r="B509" s="361"/>
      <c r="C509" s="361"/>
      <c r="D509" s="362" t="s">
        <v>407</v>
      </c>
      <c r="E509" s="361" t="s">
        <v>217</v>
      </c>
      <c r="F509" s="346">
        <v>1</v>
      </c>
      <c r="G509" s="327"/>
      <c r="H509" s="327"/>
      <c r="I509" s="327">
        <f t="shared" si="290"/>
        <v>0</v>
      </c>
      <c r="J509" s="327">
        <f t="shared" si="291"/>
        <v>0</v>
      </c>
      <c r="K509" s="327">
        <f t="shared" si="292"/>
        <v>0</v>
      </c>
      <c r="L509" s="327">
        <f t="shared" si="293"/>
        <v>0</v>
      </c>
    </row>
    <row r="510" spans="1:12" ht="39.6" x14ac:dyDescent="0.25">
      <c r="A510" s="392" t="s">
        <v>733</v>
      </c>
      <c r="B510" s="361"/>
      <c r="C510" s="361"/>
      <c r="D510" s="362" t="s">
        <v>622</v>
      </c>
      <c r="E510" s="361" t="s">
        <v>217</v>
      </c>
      <c r="F510" s="346">
        <v>10</v>
      </c>
      <c r="G510" s="393"/>
      <c r="H510" s="393"/>
      <c r="I510" s="208">
        <f t="shared" si="290"/>
        <v>0</v>
      </c>
      <c r="J510" s="208">
        <f t="shared" si="291"/>
        <v>0</v>
      </c>
      <c r="K510" s="208">
        <f t="shared" si="292"/>
        <v>0</v>
      </c>
      <c r="L510" s="208">
        <f t="shared" si="293"/>
        <v>0</v>
      </c>
    </row>
    <row r="511" spans="1:12" ht="26.4" x14ac:dyDescent="0.25">
      <c r="A511" s="392" t="s">
        <v>734</v>
      </c>
      <c r="B511" s="361"/>
      <c r="C511" s="361"/>
      <c r="D511" s="362" t="s">
        <v>621</v>
      </c>
      <c r="E511" s="361" t="s">
        <v>217</v>
      </c>
      <c r="F511" s="378">
        <v>1</v>
      </c>
      <c r="G511" s="214"/>
      <c r="H511" s="214"/>
      <c r="I511" s="208">
        <f t="shared" si="290"/>
        <v>0</v>
      </c>
      <c r="J511" s="208">
        <f t="shared" si="291"/>
        <v>0</v>
      </c>
      <c r="K511" s="208">
        <f t="shared" si="292"/>
        <v>0</v>
      </c>
      <c r="L511" s="208">
        <f t="shared" si="293"/>
        <v>0</v>
      </c>
    </row>
    <row r="512" spans="1:12" s="341" customFormat="1" x14ac:dyDescent="0.25">
      <c r="A512" s="389" t="s">
        <v>735</v>
      </c>
      <c r="B512" s="389"/>
      <c r="C512" s="389"/>
      <c r="D512" s="389" t="s">
        <v>468</v>
      </c>
      <c r="E512" s="389"/>
      <c r="F512" s="390"/>
      <c r="G512" s="213"/>
      <c r="H512" s="213"/>
      <c r="I512" s="213"/>
      <c r="J512" s="213"/>
      <c r="K512" s="213"/>
      <c r="L512" s="391">
        <f>SUM(L513:L515)</f>
        <v>0</v>
      </c>
    </row>
    <row r="513" spans="1:12" s="347" customFormat="1" ht="39.6" x14ac:dyDescent="0.25">
      <c r="A513" s="362" t="s">
        <v>736</v>
      </c>
      <c r="B513" s="385"/>
      <c r="C513" s="361"/>
      <c r="D513" s="362" t="s">
        <v>469</v>
      </c>
      <c r="E513" s="361" t="s">
        <v>89</v>
      </c>
      <c r="F513" s="346">
        <v>82</v>
      </c>
      <c r="G513" s="327"/>
      <c r="H513" s="327"/>
      <c r="I513" s="327">
        <f t="shared" ref="I513:I521" si="294">TRUNC(SUM(G513:H513),2)</f>
        <v>0</v>
      </c>
      <c r="J513" s="327">
        <f t="shared" ref="J513:J541" si="295">TRUNC(F513*G513,2)</f>
        <v>0</v>
      </c>
      <c r="K513" s="327">
        <f t="shared" ref="K513:K541" si="296">TRUNC(F513*H513,2)</f>
        <v>0</v>
      </c>
      <c r="L513" s="327">
        <f t="shared" ref="L513:L541" si="297">TRUNC(SUM(J513,K513),2)</f>
        <v>0</v>
      </c>
    </row>
    <row r="514" spans="1:12" s="347" customFormat="1" ht="39.6" x14ac:dyDescent="0.25">
      <c r="A514" s="362" t="s">
        <v>737</v>
      </c>
      <c r="B514" s="385"/>
      <c r="C514" s="361"/>
      <c r="D514" s="362" t="s">
        <v>470</v>
      </c>
      <c r="E514" s="361" t="s">
        <v>89</v>
      </c>
      <c r="F514" s="346">
        <v>20</v>
      </c>
      <c r="G514" s="327"/>
      <c r="H514" s="327"/>
      <c r="I514" s="327">
        <f t="shared" si="294"/>
        <v>0</v>
      </c>
      <c r="J514" s="327">
        <f t="shared" si="295"/>
        <v>0</v>
      </c>
      <c r="K514" s="327">
        <f t="shared" si="296"/>
        <v>0</v>
      </c>
      <c r="L514" s="327">
        <f t="shared" si="297"/>
        <v>0</v>
      </c>
    </row>
    <row r="515" spans="1:12" s="347" customFormat="1" ht="39.6" x14ac:dyDescent="0.25">
      <c r="A515" s="362" t="s">
        <v>738</v>
      </c>
      <c r="B515" s="385"/>
      <c r="C515" s="361"/>
      <c r="D515" s="362" t="s">
        <v>471</v>
      </c>
      <c r="E515" s="361" t="s">
        <v>89</v>
      </c>
      <c r="F515" s="346">
        <v>62</v>
      </c>
      <c r="G515" s="327"/>
      <c r="H515" s="327"/>
      <c r="I515" s="327">
        <f t="shared" si="294"/>
        <v>0</v>
      </c>
      <c r="J515" s="327">
        <f t="shared" si="295"/>
        <v>0</v>
      </c>
      <c r="K515" s="327">
        <f t="shared" si="296"/>
        <v>0</v>
      </c>
      <c r="L515" s="327">
        <f t="shared" si="297"/>
        <v>0</v>
      </c>
    </row>
    <row r="516" spans="1:12" s="341" customFormat="1" x14ac:dyDescent="0.25">
      <c r="A516" s="389" t="s">
        <v>739</v>
      </c>
      <c r="B516" s="389"/>
      <c r="C516" s="389"/>
      <c r="D516" s="389" t="s">
        <v>472</v>
      </c>
      <c r="E516" s="389"/>
      <c r="F516" s="390"/>
      <c r="G516" s="213"/>
      <c r="H516" s="213"/>
      <c r="I516" s="213"/>
      <c r="J516" s="213"/>
      <c r="K516" s="213"/>
      <c r="L516" s="391">
        <f>SUM(L517:L541)</f>
        <v>0</v>
      </c>
    </row>
    <row r="517" spans="1:12" s="347" customFormat="1" ht="26.4" x14ac:dyDescent="0.25">
      <c r="A517" s="362" t="s">
        <v>740</v>
      </c>
      <c r="B517" s="361"/>
      <c r="C517" s="361"/>
      <c r="D517" s="362" t="s">
        <v>624</v>
      </c>
      <c r="E517" s="361" t="s">
        <v>643</v>
      </c>
      <c r="F517" s="378">
        <v>3.12</v>
      </c>
      <c r="G517" s="328"/>
      <c r="H517" s="328"/>
      <c r="I517" s="327">
        <f t="shared" ref="I517:I519" si="298">TRUNC(SUM(G517:H517),2)</f>
        <v>0</v>
      </c>
      <c r="J517" s="327">
        <f t="shared" ref="J517:J519" si="299">TRUNC(F517*G517,2)</f>
        <v>0</v>
      </c>
      <c r="K517" s="327">
        <f t="shared" ref="K517:K519" si="300">TRUNC(F517*H517,2)</f>
        <v>0</v>
      </c>
      <c r="L517" s="327">
        <f t="shared" ref="L517:L519" si="301">TRUNC(SUM(J517,K517),2)</f>
        <v>0</v>
      </c>
    </row>
    <row r="518" spans="1:12" s="347" customFormat="1" ht="26.4" x14ac:dyDescent="0.25">
      <c r="A518" s="362" t="s">
        <v>741</v>
      </c>
      <c r="B518" s="361"/>
      <c r="C518" s="361"/>
      <c r="D518" s="362" t="s">
        <v>625</v>
      </c>
      <c r="E518" s="361" t="s">
        <v>643</v>
      </c>
      <c r="F518" s="378">
        <v>337.05</v>
      </c>
      <c r="G518" s="328"/>
      <c r="H518" s="328"/>
      <c r="I518" s="327">
        <f t="shared" si="298"/>
        <v>0</v>
      </c>
      <c r="J518" s="327">
        <f t="shared" si="299"/>
        <v>0</v>
      </c>
      <c r="K518" s="327">
        <f t="shared" si="300"/>
        <v>0</v>
      </c>
      <c r="L518" s="327">
        <f t="shared" si="301"/>
        <v>0</v>
      </c>
    </row>
    <row r="519" spans="1:12" s="347" customFormat="1" ht="26.4" x14ac:dyDescent="0.25">
      <c r="A519" s="362" t="s">
        <v>742</v>
      </c>
      <c r="B519" s="361"/>
      <c r="C519" s="361"/>
      <c r="D519" s="362" t="s">
        <v>626</v>
      </c>
      <c r="E519" s="361" t="s">
        <v>643</v>
      </c>
      <c r="F519" s="378">
        <v>624.33000000000004</v>
      </c>
      <c r="G519" s="328"/>
      <c r="H519" s="328"/>
      <c r="I519" s="327">
        <f t="shared" si="298"/>
        <v>0</v>
      </c>
      <c r="J519" s="327">
        <f t="shared" si="299"/>
        <v>0</v>
      </c>
      <c r="K519" s="327">
        <f t="shared" si="300"/>
        <v>0</v>
      </c>
      <c r="L519" s="327">
        <f t="shared" si="301"/>
        <v>0</v>
      </c>
    </row>
    <row r="520" spans="1:12" s="347" customFormat="1" ht="27" customHeight="1" x14ac:dyDescent="0.25">
      <c r="A520" s="362" t="s">
        <v>743</v>
      </c>
      <c r="B520" s="385"/>
      <c r="C520" s="361"/>
      <c r="D520" s="362" t="s">
        <v>473</v>
      </c>
      <c r="E520" s="361" t="s">
        <v>89</v>
      </c>
      <c r="F520" s="378">
        <v>12</v>
      </c>
      <c r="G520" s="328"/>
      <c r="H520" s="328"/>
      <c r="I520" s="327">
        <f t="shared" si="294"/>
        <v>0</v>
      </c>
      <c r="J520" s="327">
        <f t="shared" si="295"/>
        <v>0</v>
      </c>
      <c r="K520" s="327">
        <f t="shared" si="296"/>
        <v>0</v>
      </c>
      <c r="L520" s="327">
        <f t="shared" si="297"/>
        <v>0</v>
      </c>
    </row>
    <row r="521" spans="1:12" s="347" customFormat="1" ht="27.75" customHeight="1" x14ac:dyDescent="0.25">
      <c r="A521" s="362" t="s">
        <v>744</v>
      </c>
      <c r="B521" s="385"/>
      <c r="C521" s="361"/>
      <c r="D521" s="362" t="s">
        <v>474</v>
      </c>
      <c r="E521" s="361" t="s">
        <v>89</v>
      </c>
      <c r="F521" s="378">
        <v>12</v>
      </c>
      <c r="G521" s="328"/>
      <c r="H521" s="328"/>
      <c r="I521" s="327">
        <f t="shared" si="294"/>
        <v>0</v>
      </c>
      <c r="J521" s="327">
        <f t="shared" si="295"/>
        <v>0</v>
      </c>
      <c r="K521" s="327">
        <f t="shared" si="296"/>
        <v>0</v>
      </c>
      <c r="L521" s="327">
        <f t="shared" si="297"/>
        <v>0</v>
      </c>
    </row>
    <row r="522" spans="1:12" s="347" customFormat="1" ht="26.4" x14ac:dyDescent="0.25">
      <c r="A522" s="362" t="s">
        <v>745</v>
      </c>
      <c r="B522" s="385"/>
      <c r="C522" s="361"/>
      <c r="D522" s="362" t="s">
        <v>475</v>
      </c>
      <c r="E522" s="361" t="s">
        <v>217</v>
      </c>
      <c r="F522" s="378">
        <v>3</v>
      </c>
      <c r="G522" s="328"/>
      <c r="H522" s="328"/>
      <c r="I522" s="327">
        <f t="shared" ref="I522:I541" si="302">TRUNC(SUM(G522:H522),2)</f>
        <v>0</v>
      </c>
      <c r="J522" s="327">
        <f t="shared" si="295"/>
        <v>0</v>
      </c>
      <c r="K522" s="327">
        <f t="shared" si="296"/>
        <v>0</v>
      </c>
      <c r="L522" s="327">
        <f t="shared" si="297"/>
        <v>0</v>
      </c>
    </row>
    <row r="523" spans="1:12" s="347" customFormat="1" ht="39.6" x14ac:dyDescent="0.25">
      <c r="A523" s="362" t="s">
        <v>746</v>
      </c>
      <c r="B523" s="385"/>
      <c r="C523" s="361"/>
      <c r="D523" s="362" t="s">
        <v>300</v>
      </c>
      <c r="E523" s="361" t="s">
        <v>217</v>
      </c>
      <c r="F523" s="378">
        <v>6</v>
      </c>
      <c r="G523" s="328"/>
      <c r="H523" s="328"/>
      <c r="I523" s="327">
        <f t="shared" si="302"/>
        <v>0</v>
      </c>
      <c r="J523" s="327">
        <f t="shared" si="295"/>
        <v>0</v>
      </c>
      <c r="K523" s="327">
        <f t="shared" si="296"/>
        <v>0</v>
      </c>
      <c r="L523" s="327">
        <f t="shared" si="297"/>
        <v>0</v>
      </c>
    </row>
    <row r="524" spans="1:12" s="347" customFormat="1" ht="39.6" x14ac:dyDescent="0.25">
      <c r="A524" s="362" t="s">
        <v>747</v>
      </c>
      <c r="B524" s="361"/>
      <c r="C524" s="361"/>
      <c r="D524" s="362" t="s">
        <v>623</v>
      </c>
      <c r="E524" s="361" t="s">
        <v>217</v>
      </c>
      <c r="F524" s="378">
        <v>1</v>
      </c>
      <c r="G524" s="328"/>
      <c r="H524" s="328"/>
      <c r="I524" s="327">
        <f t="shared" si="302"/>
        <v>0</v>
      </c>
      <c r="J524" s="327">
        <f t="shared" si="295"/>
        <v>0</v>
      </c>
      <c r="K524" s="327">
        <f t="shared" si="296"/>
        <v>0</v>
      </c>
      <c r="L524" s="327">
        <f t="shared" si="297"/>
        <v>0</v>
      </c>
    </row>
    <row r="525" spans="1:12" s="347" customFormat="1" ht="39.6" x14ac:dyDescent="0.25">
      <c r="A525" s="362" t="s">
        <v>748</v>
      </c>
      <c r="B525" s="385"/>
      <c r="C525" s="361"/>
      <c r="D525" s="362" t="s">
        <v>476</v>
      </c>
      <c r="E525" s="361" t="s">
        <v>217</v>
      </c>
      <c r="F525" s="378">
        <v>1</v>
      </c>
      <c r="G525" s="328"/>
      <c r="H525" s="328"/>
      <c r="I525" s="327">
        <f t="shared" si="302"/>
        <v>0</v>
      </c>
      <c r="J525" s="327">
        <f t="shared" si="295"/>
        <v>0</v>
      </c>
      <c r="K525" s="327">
        <f t="shared" si="296"/>
        <v>0</v>
      </c>
      <c r="L525" s="327">
        <f t="shared" si="297"/>
        <v>0</v>
      </c>
    </row>
    <row r="526" spans="1:12" s="347" customFormat="1" ht="39.6" x14ac:dyDescent="0.25">
      <c r="A526" s="362" t="s">
        <v>749</v>
      </c>
      <c r="B526" s="385"/>
      <c r="C526" s="361"/>
      <c r="D526" s="362" t="s">
        <v>477</v>
      </c>
      <c r="E526" s="361" t="s">
        <v>217</v>
      </c>
      <c r="F526" s="378">
        <v>1</v>
      </c>
      <c r="G526" s="328"/>
      <c r="H526" s="328"/>
      <c r="I526" s="327">
        <f t="shared" si="302"/>
        <v>0</v>
      </c>
      <c r="J526" s="327">
        <f t="shared" si="295"/>
        <v>0</v>
      </c>
      <c r="K526" s="327">
        <f t="shared" si="296"/>
        <v>0</v>
      </c>
      <c r="L526" s="327">
        <f t="shared" si="297"/>
        <v>0</v>
      </c>
    </row>
    <row r="527" spans="1:12" s="347" customFormat="1" ht="24" customHeight="1" x14ac:dyDescent="0.25">
      <c r="A527" s="362" t="s">
        <v>750</v>
      </c>
      <c r="B527" s="385"/>
      <c r="C527" s="361"/>
      <c r="D527" s="362" t="s">
        <v>478</v>
      </c>
      <c r="E527" s="361" t="s">
        <v>217</v>
      </c>
      <c r="F527" s="378">
        <v>2</v>
      </c>
      <c r="G527" s="328"/>
      <c r="H527" s="328"/>
      <c r="I527" s="327">
        <f t="shared" si="302"/>
        <v>0</v>
      </c>
      <c r="J527" s="327">
        <f t="shared" si="295"/>
        <v>0</v>
      </c>
      <c r="K527" s="327">
        <f t="shared" si="296"/>
        <v>0</v>
      </c>
      <c r="L527" s="327">
        <f t="shared" si="297"/>
        <v>0</v>
      </c>
    </row>
    <row r="528" spans="1:12" s="347" customFormat="1" ht="39.6" x14ac:dyDescent="0.25">
      <c r="A528" s="362" t="s">
        <v>751</v>
      </c>
      <c r="B528" s="361"/>
      <c r="C528" s="361"/>
      <c r="D528" s="362" t="s">
        <v>650</v>
      </c>
      <c r="E528" s="361" t="s">
        <v>217</v>
      </c>
      <c r="F528" s="378">
        <v>1</v>
      </c>
      <c r="G528" s="328"/>
      <c r="H528" s="328"/>
      <c r="I528" s="327">
        <f t="shared" si="302"/>
        <v>0</v>
      </c>
      <c r="J528" s="328">
        <f t="shared" si="295"/>
        <v>0</v>
      </c>
      <c r="K528" s="328">
        <f t="shared" si="296"/>
        <v>0</v>
      </c>
      <c r="L528" s="328">
        <f t="shared" si="297"/>
        <v>0</v>
      </c>
    </row>
    <row r="529" spans="1:12" s="347" customFormat="1" x14ac:dyDescent="0.25">
      <c r="A529" s="362" t="s">
        <v>752</v>
      </c>
      <c r="B529" s="361"/>
      <c r="C529" s="361"/>
      <c r="D529" s="362" t="s">
        <v>479</v>
      </c>
      <c r="E529" s="361" t="s">
        <v>217</v>
      </c>
      <c r="F529" s="378">
        <v>1</v>
      </c>
      <c r="G529" s="328"/>
      <c r="H529" s="328"/>
      <c r="I529" s="327">
        <f t="shared" si="302"/>
        <v>0</v>
      </c>
      <c r="J529" s="327">
        <f t="shared" si="295"/>
        <v>0</v>
      </c>
      <c r="K529" s="327">
        <f t="shared" si="296"/>
        <v>0</v>
      </c>
      <c r="L529" s="327">
        <f t="shared" si="297"/>
        <v>0</v>
      </c>
    </row>
    <row r="530" spans="1:12" s="347" customFormat="1" x14ac:dyDescent="0.25">
      <c r="A530" s="362" t="s">
        <v>753</v>
      </c>
      <c r="B530" s="361"/>
      <c r="C530" s="361"/>
      <c r="D530" s="362" t="s">
        <v>480</v>
      </c>
      <c r="E530" s="361" t="s">
        <v>89</v>
      </c>
      <c r="F530" s="378">
        <v>5</v>
      </c>
      <c r="G530" s="328"/>
      <c r="H530" s="328"/>
      <c r="I530" s="327">
        <f t="shared" si="302"/>
        <v>0</v>
      </c>
      <c r="J530" s="327">
        <f t="shared" si="295"/>
        <v>0</v>
      </c>
      <c r="K530" s="327">
        <f t="shared" si="296"/>
        <v>0</v>
      </c>
      <c r="L530" s="327">
        <f t="shared" si="297"/>
        <v>0</v>
      </c>
    </row>
    <row r="531" spans="1:12" s="347" customFormat="1" x14ac:dyDescent="0.25">
      <c r="A531" s="362" t="s">
        <v>754</v>
      </c>
      <c r="B531" s="361"/>
      <c r="C531" s="361"/>
      <c r="D531" s="362" t="s">
        <v>481</v>
      </c>
      <c r="E531" s="361" t="s">
        <v>89</v>
      </c>
      <c r="F531" s="378">
        <v>1000</v>
      </c>
      <c r="G531" s="328"/>
      <c r="H531" s="328"/>
      <c r="I531" s="327">
        <f t="shared" si="302"/>
        <v>0</v>
      </c>
      <c r="J531" s="327">
        <f t="shared" si="295"/>
        <v>0</v>
      </c>
      <c r="K531" s="327">
        <f t="shared" si="296"/>
        <v>0</v>
      </c>
      <c r="L531" s="327">
        <f t="shared" si="297"/>
        <v>0</v>
      </c>
    </row>
    <row r="532" spans="1:12" s="347" customFormat="1" ht="39.6" x14ac:dyDescent="0.25">
      <c r="A532" s="362" t="s">
        <v>755</v>
      </c>
      <c r="B532" s="361"/>
      <c r="C532" s="361"/>
      <c r="D532" s="362" t="s">
        <v>649</v>
      </c>
      <c r="E532" s="361" t="s">
        <v>17</v>
      </c>
      <c r="F532" s="378">
        <v>120</v>
      </c>
      <c r="G532" s="328"/>
      <c r="H532" s="328"/>
      <c r="I532" s="327">
        <f t="shared" ref="I532:I539" si="303">TRUNC(SUM(G532:H532),2)</f>
        <v>0</v>
      </c>
      <c r="J532" s="327">
        <f t="shared" ref="J532:J539" si="304">TRUNC(F532*G532,2)</f>
        <v>0</v>
      </c>
      <c r="K532" s="327">
        <f t="shared" ref="K532:K539" si="305">TRUNC(F532*H532,2)</f>
        <v>0</v>
      </c>
      <c r="L532" s="327">
        <f t="shared" ref="L532:L539" si="306">TRUNC(SUM(J532,K532),2)</f>
        <v>0</v>
      </c>
    </row>
    <row r="533" spans="1:12" s="347" customFormat="1" x14ac:dyDescent="0.25">
      <c r="A533" s="362" t="s">
        <v>756</v>
      </c>
      <c r="B533" s="361"/>
      <c r="C533" s="361"/>
      <c r="D533" s="362" t="s">
        <v>646</v>
      </c>
      <c r="E533" s="361" t="s">
        <v>647</v>
      </c>
      <c r="F533" s="378">
        <v>6</v>
      </c>
      <c r="G533" s="328"/>
      <c r="H533" s="328"/>
      <c r="I533" s="327">
        <f t="shared" si="303"/>
        <v>0</v>
      </c>
      <c r="J533" s="327">
        <f t="shared" si="304"/>
        <v>0</v>
      </c>
      <c r="K533" s="327">
        <f t="shared" si="305"/>
        <v>0</v>
      </c>
      <c r="L533" s="327">
        <f t="shared" si="306"/>
        <v>0</v>
      </c>
    </row>
    <row r="534" spans="1:12" ht="27" customHeight="1" x14ac:dyDescent="0.25">
      <c r="A534" s="392" t="s">
        <v>757</v>
      </c>
      <c r="B534" s="361"/>
      <c r="C534" s="394"/>
      <c r="D534" s="362" t="s">
        <v>1096</v>
      </c>
      <c r="E534" s="361" t="s">
        <v>17</v>
      </c>
      <c r="F534" s="378">
        <v>84</v>
      </c>
      <c r="G534" s="328"/>
      <c r="H534" s="328"/>
      <c r="I534" s="208">
        <f t="shared" si="303"/>
        <v>0</v>
      </c>
      <c r="J534" s="208">
        <f t="shared" si="304"/>
        <v>0</v>
      </c>
      <c r="K534" s="208">
        <f t="shared" si="305"/>
        <v>0</v>
      </c>
      <c r="L534" s="208">
        <f t="shared" si="306"/>
        <v>0</v>
      </c>
    </row>
    <row r="535" spans="1:12" s="347" customFormat="1" ht="26.4" x14ac:dyDescent="0.25">
      <c r="A535" s="362" t="s">
        <v>758</v>
      </c>
      <c r="B535" s="361"/>
      <c r="C535" s="361"/>
      <c r="D535" s="362" t="s">
        <v>648</v>
      </c>
      <c r="E535" s="361" t="s">
        <v>17</v>
      </c>
      <c r="F535" s="378">
        <v>84</v>
      </c>
      <c r="G535" s="328"/>
      <c r="H535" s="328"/>
      <c r="I535" s="327">
        <f t="shared" si="303"/>
        <v>0</v>
      </c>
      <c r="J535" s="327">
        <f t="shared" si="304"/>
        <v>0</v>
      </c>
      <c r="K535" s="327">
        <f t="shared" si="305"/>
        <v>0</v>
      </c>
      <c r="L535" s="327">
        <f t="shared" si="306"/>
        <v>0</v>
      </c>
    </row>
    <row r="536" spans="1:12" s="347" customFormat="1" ht="26.4" x14ac:dyDescent="0.25">
      <c r="A536" s="362" t="s">
        <v>759</v>
      </c>
      <c r="B536" s="361"/>
      <c r="C536" s="361"/>
      <c r="D536" s="362" t="s">
        <v>644</v>
      </c>
      <c r="E536" s="361" t="s">
        <v>89</v>
      </c>
      <c r="F536" s="378">
        <v>280</v>
      </c>
      <c r="G536" s="328"/>
      <c r="H536" s="328"/>
      <c r="I536" s="327">
        <f t="shared" si="303"/>
        <v>0</v>
      </c>
      <c r="J536" s="327">
        <f t="shared" si="304"/>
        <v>0</v>
      </c>
      <c r="K536" s="327">
        <f t="shared" si="305"/>
        <v>0</v>
      </c>
      <c r="L536" s="327">
        <f t="shared" si="306"/>
        <v>0</v>
      </c>
    </row>
    <row r="537" spans="1:12" s="347" customFormat="1" ht="26.4" x14ac:dyDescent="0.25">
      <c r="A537" s="362" t="s">
        <v>760</v>
      </c>
      <c r="B537" s="361"/>
      <c r="C537" s="361"/>
      <c r="D537" s="362" t="s">
        <v>645</v>
      </c>
      <c r="E537" s="361" t="s">
        <v>217</v>
      </c>
      <c r="F537" s="378">
        <v>160</v>
      </c>
      <c r="G537" s="328"/>
      <c r="H537" s="328"/>
      <c r="I537" s="327">
        <f t="shared" si="303"/>
        <v>0</v>
      </c>
      <c r="J537" s="327">
        <f t="shared" si="304"/>
        <v>0</v>
      </c>
      <c r="K537" s="327">
        <f t="shared" si="305"/>
        <v>0</v>
      </c>
      <c r="L537" s="327">
        <f t="shared" si="306"/>
        <v>0</v>
      </c>
    </row>
    <row r="538" spans="1:12" s="347" customFormat="1" x14ac:dyDescent="0.25">
      <c r="A538" s="362" t="s">
        <v>761</v>
      </c>
      <c r="B538" s="361"/>
      <c r="C538" s="361"/>
      <c r="D538" s="362" t="s">
        <v>651</v>
      </c>
      <c r="E538" s="361" t="s">
        <v>89</v>
      </c>
      <c r="F538" s="378">
        <v>24</v>
      </c>
      <c r="G538" s="328"/>
      <c r="H538" s="328"/>
      <c r="I538" s="327">
        <f t="shared" si="303"/>
        <v>0</v>
      </c>
      <c r="J538" s="327">
        <f t="shared" si="304"/>
        <v>0</v>
      </c>
      <c r="K538" s="327">
        <f t="shared" si="305"/>
        <v>0</v>
      </c>
      <c r="L538" s="327">
        <f t="shared" si="306"/>
        <v>0</v>
      </c>
    </row>
    <row r="539" spans="1:12" s="347" customFormat="1" ht="26.4" x14ac:dyDescent="0.25">
      <c r="A539" s="362" t="s">
        <v>762</v>
      </c>
      <c r="B539" s="361"/>
      <c r="C539" s="361"/>
      <c r="D539" s="362" t="s">
        <v>652</v>
      </c>
      <c r="E539" s="361" t="s">
        <v>643</v>
      </c>
      <c r="F539" s="378">
        <v>25</v>
      </c>
      <c r="G539" s="328"/>
      <c r="H539" s="328"/>
      <c r="I539" s="327">
        <f t="shared" si="303"/>
        <v>0</v>
      </c>
      <c r="J539" s="327">
        <f t="shared" si="304"/>
        <v>0</v>
      </c>
      <c r="K539" s="327">
        <f t="shared" si="305"/>
        <v>0</v>
      </c>
      <c r="L539" s="327">
        <f t="shared" si="306"/>
        <v>0</v>
      </c>
    </row>
    <row r="540" spans="1:12" s="347" customFormat="1" ht="27" customHeight="1" x14ac:dyDescent="0.25">
      <c r="A540" s="362" t="s">
        <v>763</v>
      </c>
      <c r="B540" s="361"/>
      <c r="C540" s="361"/>
      <c r="D540" s="362" t="s">
        <v>653</v>
      </c>
      <c r="E540" s="361" t="s">
        <v>217</v>
      </c>
      <c r="F540" s="378">
        <v>21</v>
      </c>
      <c r="G540" s="328"/>
      <c r="H540" s="328"/>
      <c r="I540" s="327">
        <f t="shared" si="302"/>
        <v>0</v>
      </c>
      <c r="J540" s="327">
        <f t="shared" si="295"/>
        <v>0</v>
      </c>
      <c r="K540" s="327">
        <f t="shared" si="296"/>
        <v>0</v>
      </c>
      <c r="L540" s="327">
        <f t="shared" si="297"/>
        <v>0</v>
      </c>
    </row>
    <row r="541" spans="1:12" s="347" customFormat="1" ht="27.75" customHeight="1" x14ac:dyDescent="0.25">
      <c r="A541" s="362" t="s">
        <v>764</v>
      </c>
      <c r="B541" s="361"/>
      <c r="C541" s="361"/>
      <c r="D541" s="362" t="s">
        <v>654</v>
      </c>
      <c r="E541" s="361" t="s">
        <v>217</v>
      </c>
      <c r="F541" s="346">
        <v>22</v>
      </c>
      <c r="G541" s="327"/>
      <c r="H541" s="327"/>
      <c r="I541" s="327">
        <f t="shared" si="302"/>
        <v>0</v>
      </c>
      <c r="J541" s="327">
        <f t="shared" si="295"/>
        <v>0</v>
      </c>
      <c r="K541" s="327">
        <f t="shared" si="296"/>
        <v>0</v>
      </c>
      <c r="L541" s="327">
        <f t="shared" si="297"/>
        <v>0</v>
      </c>
    </row>
    <row r="542" spans="1:12" s="341" customFormat="1" x14ac:dyDescent="0.25">
      <c r="A542" s="389" t="s">
        <v>765</v>
      </c>
      <c r="B542" s="389"/>
      <c r="C542" s="389"/>
      <c r="D542" s="389" t="s">
        <v>482</v>
      </c>
      <c r="E542" s="389"/>
      <c r="F542" s="390"/>
      <c r="G542" s="213"/>
      <c r="H542" s="213"/>
      <c r="I542" s="213"/>
      <c r="J542" s="213"/>
      <c r="K542" s="213"/>
      <c r="L542" s="391">
        <f>SUM(L543:L552)</f>
        <v>0</v>
      </c>
    </row>
    <row r="543" spans="1:12" s="347" customFormat="1" ht="39.6" x14ac:dyDescent="0.25">
      <c r="A543" s="362" t="s">
        <v>766</v>
      </c>
      <c r="B543" s="385"/>
      <c r="C543" s="361"/>
      <c r="D543" s="362" t="s">
        <v>483</v>
      </c>
      <c r="E543" s="361" t="s">
        <v>89</v>
      </c>
      <c r="F543" s="346">
        <v>100</v>
      </c>
      <c r="G543" s="327"/>
      <c r="H543" s="327"/>
      <c r="I543" s="327">
        <f t="shared" ref="I543" si="307">TRUNC(SUM(G543:H543),2)</f>
        <v>0</v>
      </c>
      <c r="J543" s="327">
        <f t="shared" ref="J543" si="308">TRUNC(F543*G543,2)</f>
        <v>0</v>
      </c>
      <c r="K543" s="327">
        <f t="shared" ref="K543" si="309">TRUNC(F543*H543,2)</f>
        <v>0</v>
      </c>
      <c r="L543" s="327">
        <f t="shared" ref="L543" si="310">TRUNC(SUM(J543,K543),2)</f>
        <v>0</v>
      </c>
    </row>
    <row r="544" spans="1:12" s="347" customFormat="1" x14ac:dyDescent="0.25">
      <c r="A544" s="362" t="s">
        <v>767</v>
      </c>
      <c r="B544" s="361"/>
      <c r="C544" s="361"/>
      <c r="D544" s="362" t="s">
        <v>620</v>
      </c>
      <c r="E544" s="361" t="s">
        <v>89</v>
      </c>
      <c r="F544" s="346">
        <v>100</v>
      </c>
      <c r="G544" s="327"/>
      <c r="H544" s="327"/>
      <c r="I544" s="327">
        <f t="shared" ref="I544:I552" si="311">TRUNC(SUM(G544:H544),2)</f>
        <v>0</v>
      </c>
      <c r="J544" s="327">
        <f t="shared" ref="J544:J552" si="312">TRUNC(F544*G544,2)</f>
        <v>0</v>
      </c>
      <c r="K544" s="327">
        <f t="shared" ref="K544:K552" si="313">TRUNC(F544*H544,2)</f>
        <v>0</v>
      </c>
      <c r="L544" s="327">
        <f t="shared" ref="L544:L552" si="314">TRUNC(SUM(J544,K544),2)</f>
        <v>0</v>
      </c>
    </row>
    <row r="545" spans="1:12" s="347" customFormat="1" ht="26.4" x14ac:dyDescent="0.25">
      <c r="A545" s="362" t="s">
        <v>768</v>
      </c>
      <c r="B545" s="361"/>
      <c r="C545" s="361"/>
      <c r="D545" s="362" t="s">
        <v>619</v>
      </c>
      <c r="E545" s="361" t="s">
        <v>217</v>
      </c>
      <c r="F545" s="378">
        <v>9</v>
      </c>
      <c r="G545" s="328"/>
      <c r="H545" s="328"/>
      <c r="I545" s="327">
        <f>TRUNC(SUM(G545:H545),2)</f>
        <v>0</v>
      </c>
      <c r="J545" s="327">
        <f>TRUNC(F545*G545,2)</f>
        <v>0</v>
      </c>
      <c r="K545" s="327">
        <f>TRUNC(F545*H545,2)</f>
        <v>0</v>
      </c>
      <c r="L545" s="327">
        <f>TRUNC(SUM(J545,K545),2)</f>
        <v>0</v>
      </c>
    </row>
    <row r="546" spans="1:12" s="347" customFormat="1" x14ac:dyDescent="0.25">
      <c r="A546" s="362" t="s">
        <v>769</v>
      </c>
      <c r="B546" s="361"/>
      <c r="C546" s="361"/>
      <c r="D546" s="362" t="s">
        <v>481</v>
      </c>
      <c r="E546" s="361" t="s">
        <v>89</v>
      </c>
      <c r="F546" s="378">
        <v>200</v>
      </c>
      <c r="G546" s="328"/>
      <c r="H546" s="328"/>
      <c r="I546" s="327">
        <f>TRUNC(SUM(G546:H546),2)</f>
        <v>0</v>
      </c>
      <c r="J546" s="327">
        <f>TRUNC(F546*G546,2)</f>
        <v>0</v>
      </c>
      <c r="K546" s="327">
        <f>TRUNC(F546*H546,2)</f>
        <v>0</v>
      </c>
      <c r="L546" s="327">
        <f>TRUNC(SUM(J546,K546),2)</f>
        <v>0</v>
      </c>
    </row>
    <row r="547" spans="1:12" s="347" customFormat="1" x14ac:dyDescent="0.25">
      <c r="A547" s="362" t="s">
        <v>770</v>
      </c>
      <c r="B547" s="361"/>
      <c r="C547" s="361"/>
      <c r="D547" s="362" t="s">
        <v>618</v>
      </c>
      <c r="E547" s="361" t="s">
        <v>643</v>
      </c>
      <c r="F547" s="378">
        <v>9.5</v>
      </c>
      <c r="G547" s="328"/>
      <c r="H547" s="328"/>
      <c r="I547" s="327">
        <f>TRUNC(SUM(G547:H547),2)</f>
        <v>0</v>
      </c>
      <c r="J547" s="327">
        <f>TRUNC(F547*G547,2)</f>
        <v>0</v>
      </c>
      <c r="K547" s="327">
        <f>TRUNC(F547*H547,2)</f>
        <v>0</v>
      </c>
      <c r="L547" s="327">
        <f>TRUNC(SUM(J547,K547),2)</f>
        <v>0</v>
      </c>
    </row>
    <row r="548" spans="1:12" s="347" customFormat="1" x14ac:dyDescent="0.25">
      <c r="A548" s="362" t="s">
        <v>771</v>
      </c>
      <c r="B548" s="361"/>
      <c r="C548" s="361"/>
      <c r="D548" s="362" t="s">
        <v>484</v>
      </c>
      <c r="E548" s="361" t="s">
        <v>217</v>
      </c>
      <c r="F548" s="346">
        <v>25</v>
      </c>
      <c r="G548" s="327"/>
      <c r="H548" s="327"/>
      <c r="I548" s="327">
        <f>TRUNC(SUM(G548:H548),2)</f>
        <v>0</v>
      </c>
      <c r="J548" s="327">
        <f>TRUNC(F548*G548,2)</f>
        <v>0</v>
      </c>
      <c r="K548" s="327">
        <f>TRUNC(F548*H548,2)</f>
        <v>0</v>
      </c>
      <c r="L548" s="327">
        <f>TRUNC(SUM(J548,K548),2)</f>
        <v>0</v>
      </c>
    </row>
    <row r="549" spans="1:12" ht="49.5" customHeight="1" x14ac:dyDescent="0.25">
      <c r="A549" s="362" t="s">
        <v>772</v>
      </c>
      <c r="B549" s="394"/>
      <c r="C549" s="394"/>
      <c r="D549" s="362" t="s">
        <v>844</v>
      </c>
      <c r="E549" s="394" t="s">
        <v>647</v>
      </c>
      <c r="F549" s="324">
        <v>1</v>
      </c>
      <c r="G549" s="214"/>
      <c r="H549" s="214"/>
      <c r="I549" s="208">
        <f t="shared" si="311"/>
        <v>0</v>
      </c>
      <c r="J549" s="208">
        <f t="shared" si="312"/>
        <v>0</v>
      </c>
      <c r="K549" s="208">
        <f t="shared" si="313"/>
        <v>0</v>
      </c>
      <c r="L549" s="208">
        <f t="shared" si="314"/>
        <v>0</v>
      </c>
    </row>
    <row r="550" spans="1:12" ht="48.75" customHeight="1" x14ac:dyDescent="0.25">
      <c r="A550" s="362" t="s">
        <v>773</v>
      </c>
      <c r="B550" s="394"/>
      <c r="C550" s="394"/>
      <c r="D550" s="362" t="s">
        <v>845</v>
      </c>
      <c r="E550" s="394" t="s">
        <v>647</v>
      </c>
      <c r="F550" s="324">
        <v>1</v>
      </c>
      <c r="G550" s="214"/>
      <c r="H550" s="214"/>
      <c r="I550" s="208">
        <f t="shared" si="311"/>
        <v>0</v>
      </c>
      <c r="J550" s="208">
        <f t="shared" si="312"/>
        <v>0</v>
      </c>
      <c r="K550" s="208">
        <f t="shared" si="313"/>
        <v>0</v>
      </c>
      <c r="L550" s="208">
        <f t="shared" si="314"/>
        <v>0</v>
      </c>
    </row>
    <row r="551" spans="1:12" ht="26.4" x14ac:dyDescent="0.25">
      <c r="A551" s="362" t="s">
        <v>774</v>
      </c>
      <c r="B551" s="394"/>
      <c r="C551" s="394"/>
      <c r="D551" s="362" t="s">
        <v>1098</v>
      </c>
      <c r="E551" s="394" t="s">
        <v>217</v>
      </c>
      <c r="F551" s="324">
        <v>1</v>
      </c>
      <c r="G551" s="214"/>
      <c r="H551" s="214"/>
      <c r="I551" s="208">
        <f t="shared" si="311"/>
        <v>0</v>
      </c>
      <c r="J551" s="208">
        <f t="shared" si="312"/>
        <v>0</v>
      </c>
      <c r="K551" s="208">
        <f t="shared" si="313"/>
        <v>0</v>
      </c>
      <c r="L551" s="208">
        <f t="shared" si="314"/>
        <v>0</v>
      </c>
    </row>
    <row r="552" spans="1:12" ht="26.4" x14ac:dyDescent="0.25">
      <c r="A552" s="362" t="s">
        <v>775</v>
      </c>
      <c r="B552" s="394"/>
      <c r="C552" s="394"/>
      <c r="D552" s="362" t="s">
        <v>1099</v>
      </c>
      <c r="E552" s="394" t="s">
        <v>217</v>
      </c>
      <c r="F552" s="324">
        <v>1</v>
      </c>
      <c r="G552" s="214"/>
      <c r="H552" s="214"/>
      <c r="I552" s="208">
        <f t="shared" si="311"/>
        <v>0</v>
      </c>
      <c r="J552" s="208">
        <f t="shared" si="312"/>
        <v>0</v>
      </c>
      <c r="K552" s="208">
        <f t="shared" si="313"/>
        <v>0</v>
      </c>
      <c r="L552" s="208">
        <f t="shared" si="314"/>
        <v>0</v>
      </c>
    </row>
    <row r="553" spans="1:12" x14ac:dyDescent="0.25">
      <c r="A553" s="364"/>
      <c r="B553" s="365"/>
      <c r="C553" s="366"/>
      <c r="D553" s="367" t="s">
        <v>324</v>
      </c>
      <c r="E553" s="368" t="s">
        <v>325</v>
      </c>
      <c r="F553" s="369"/>
      <c r="G553" s="370"/>
      <c r="H553" s="370"/>
      <c r="I553" s="370"/>
      <c r="J553" s="371">
        <f>SUM(J502:J552)</f>
        <v>0</v>
      </c>
      <c r="K553" s="371">
        <f>SUM(K502:K552)</f>
        <v>0</v>
      </c>
      <c r="L553" s="370"/>
    </row>
    <row r="554" spans="1:12" x14ac:dyDescent="0.25">
      <c r="A554" s="372"/>
      <c r="B554" s="373"/>
      <c r="C554" s="373"/>
      <c r="D554" s="372" t="s">
        <v>325</v>
      </c>
      <c r="E554" s="373" t="s">
        <v>325</v>
      </c>
      <c r="F554" s="374"/>
      <c r="G554" s="375"/>
      <c r="H554" s="375"/>
      <c r="I554" s="375"/>
      <c r="J554" s="376"/>
      <c r="K554" s="376">
        <f>SUM(J553:K553)</f>
        <v>0</v>
      </c>
      <c r="L554" s="375"/>
    </row>
    <row r="555" spans="1:12" x14ac:dyDescent="0.25">
      <c r="A555" s="206">
        <v>17</v>
      </c>
      <c r="B555" s="335"/>
      <c r="C555" s="335"/>
      <c r="D555" s="206" t="s">
        <v>252</v>
      </c>
      <c r="E555" s="206"/>
      <c r="F555" s="377"/>
      <c r="G555" s="210"/>
      <c r="H555" s="210"/>
      <c r="I555" s="210"/>
      <c r="J555" s="210"/>
      <c r="K555" s="210"/>
      <c r="L555" s="337">
        <f>SUM(L556:L596)</f>
        <v>0</v>
      </c>
    </row>
    <row r="556" spans="1:12" ht="26.4" x14ac:dyDescent="0.25">
      <c r="A556" s="325" t="s">
        <v>776</v>
      </c>
      <c r="B556" s="334"/>
      <c r="C556" s="331"/>
      <c r="D556" s="325" t="s">
        <v>212</v>
      </c>
      <c r="E556" s="332" t="s">
        <v>217</v>
      </c>
      <c r="F556" s="379">
        <v>45</v>
      </c>
      <c r="G556" s="208"/>
      <c r="H556" s="208"/>
      <c r="I556" s="208">
        <f t="shared" ref="I556:I584" si="315">TRUNC(SUM(G556:H556),2)</f>
        <v>0</v>
      </c>
      <c r="J556" s="208">
        <f t="shared" ref="J556:J595" si="316">TRUNC(F556*G556,2)</f>
        <v>0</v>
      </c>
      <c r="K556" s="208">
        <f t="shared" ref="K556:K595" si="317">TRUNC(F556*H556,2)</f>
        <v>0</v>
      </c>
      <c r="L556" s="208">
        <f t="shared" ref="L556:L595" si="318">TRUNC(SUM(J556,K556),2)</f>
        <v>0</v>
      </c>
    </row>
    <row r="557" spans="1:12" ht="26.4" x14ac:dyDescent="0.25">
      <c r="A557" s="325" t="s">
        <v>777</v>
      </c>
      <c r="B557" s="330"/>
      <c r="C557" s="331"/>
      <c r="D557" s="325" t="s">
        <v>213</v>
      </c>
      <c r="E557" s="332" t="s">
        <v>217</v>
      </c>
      <c r="F557" s="379">
        <v>16</v>
      </c>
      <c r="G557" s="208"/>
      <c r="H557" s="208"/>
      <c r="I557" s="208">
        <f t="shared" si="315"/>
        <v>0</v>
      </c>
      <c r="J557" s="208">
        <f t="shared" si="316"/>
        <v>0</v>
      </c>
      <c r="K557" s="208">
        <f t="shared" si="317"/>
        <v>0</v>
      </c>
      <c r="L557" s="208">
        <f t="shared" si="318"/>
        <v>0</v>
      </c>
    </row>
    <row r="558" spans="1:12" ht="26.4" x14ac:dyDescent="0.25">
      <c r="A558" s="325" t="s">
        <v>778</v>
      </c>
      <c r="B558" s="349"/>
      <c r="C558" s="331"/>
      <c r="D558" s="351" t="s">
        <v>847</v>
      </c>
      <c r="E558" s="332" t="s">
        <v>217</v>
      </c>
      <c r="F558" s="324">
        <v>4</v>
      </c>
      <c r="G558" s="212"/>
      <c r="H558" s="212"/>
      <c r="I558" s="208">
        <f t="shared" ref="I558:I563" si="319">TRUNC(SUM(G558:H558),2)</f>
        <v>0</v>
      </c>
      <c r="J558" s="208">
        <f t="shared" ref="J558:J563" si="320">TRUNC(F558*G558,2)</f>
        <v>0</v>
      </c>
      <c r="K558" s="208">
        <f t="shared" ref="K558:K563" si="321">TRUNC(F558*H558,2)</f>
        <v>0</v>
      </c>
      <c r="L558" s="208">
        <f t="shared" ref="L558:L563" si="322">TRUNC(SUM(J558,K558),2)</f>
        <v>0</v>
      </c>
    </row>
    <row r="559" spans="1:12" ht="26.4" x14ac:dyDescent="0.25">
      <c r="A559" s="325" t="s">
        <v>779</v>
      </c>
      <c r="B559" s="349"/>
      <c r="C559" s="331"/>
      <c r="D559" s="351" t="s">
        <v>682</v>
      </c>
      <c r="E559" s="332" t="s">
        <v>217</v>
      </c>
      <c r="F559" s="324">
        <v>1</v>
      </c>
      <c r="G559" s="212"/>
      <c r="H559" s="212"/>
      <c r="I559" s="208">
        <f t="shared" si="319"/>
        <v>0</v>
      </c>
      <c r="J559" s="208">
        <f t="shared" si="320"/>
        <v>0</v>
      </c>
      <c r="K559" s="208">
        <f t="shared" si="321"/>
        <v>0</v>
      </c>
      <c r="L559" s="208">
        <f t="shared" si="322"/>
        <v>0</v>
      </c>
    </row>
    <row r="560" spans="1:12" ht="39.6" x14ac:dyDescent="0.25">
      <c r="A560" s="325" t="s">
        <v>780</v>
      </c>
      <c r="B560" s="330"/>
      <c r="C560" s="331"/>
      <c r="D560" s="325" t="s">
        <v>209</v>
      </c>
      <c r="E560" s="332" t="s">
        <v>89</v>
      </c>
      <c r="F560" s="379">
        <v>25</v>
      </c>
      <c r="G560" s="208"/>
      <c r="H560" s="208"/>
      <c r="I560" s="208">
        <f t="shared" si="319"/>
        <v>0</v>
      </c>
      <c r="J560" s="208">
        <f t="shared" si="320"/>
        <v>0</v>
      </c>
      <c r="K560" s="208">
        <f t="shared" si="321"/>
        <v>0</v>
      </c>
      <c r="L560" s="208">
        <f t="shared" si="322"/>
        <v>0</v>
      </c>
    </row>
    <row r="561" spans="1:12" ht="39.6" x14ac:dyDescent="0.25">
      <c r="A561" s="325" t="s">
        <v>781</v>
      </c>
      <c r="B561" s="334"/>
      <c r="C561" s="331"/>
      <c r="D561" s="325" t="s">
        <v>679</v>
      </c>
      <c r="E561" s="332" t="s">
        <v>89</v>
      </c>
      <c r="F561" s="379">
        <v>35</v>
      </c>
      <c r="G561" s="208"/>
      <c r="H561" s="208"/>
      <c r="I561" s="208">
        <f t="shared" si="319"/>
        <v>0</v>
      </c>
      <c r="J561" s="208">
        <f t="shared" si="320"/>
        <v>0</v>
      </c>
      <c r="K561" s="208">
        <f t="shared" si="321"/>
        <v>0</v>
      </c>
      <c r="L561" s="208">
        <f t="shared" si="322"/>
        <v>0</v>
      </c>
    </row>
    <row r="562" spans="1:12" ht="39.6" x14ac:dyDescent="0.25">
      <c r="A562" s="325" t="s">
        <v>782</v>
      </c>
      <c r="B562" s="334"/>
      <c r="C562" s="331"/>
      <c r="D562" s="325" t="s">
        <v>848</v>
      </c>
      <c r="E562" s="332" t="s">
        <v>89</v>
      </c>
      <c r="F562" s="379">
        <v>15</v>
      </c>
      <c r="G562" s="208"/>
      <c r="H562" s="208"/>
      <c r="I562" s="208">
        <f t="shared" si="319"/>
        <v>0</v>
      </c>
      <c r="J562" s="208">
        <f t="shared" si="320"/>
        <v>0</v>
      </c>
      <c r="K562" s="208">
        <f t="shared" si="321"/>
        <v>0</v>
      </c>
      <c r="L562" s="208">
        <f t="shared" si="322"/>
        <v>0</v>
      </c>
    </row>
    <row r="563" spans="1:12" ht="39.6" x14ac:dyDescent="0.25">
      <c r="A563" s="325" t="s">
        <v>783</v>
      </c>
      <c r="B563" s="330"/>
      <c r="C563" s="331"/>
      <c r="D563" s="325" t="s">
        <v>459</v>
      </c>
      <c r="E563" s="332" t="s">
        <v>89</v>
      </c>
      <c r="F563" s="379">
        <v>150</v>
      </c>
      <c r="G563" s="208"/>
      <c r="H563" s="208"/>
      <c r="I563" s="208">
        <f t="shared" si="319"/>
        <v>0</v>
      </c>
      <c r="J563" s="208">
        <f t="shared" si="320"/>
        <v>0</v>
      </c>
      <c r="K563" s="208">
        <f t="shared" si="321"/>
        <v>0</v>
      </c>
      <c r="L563" s="208">
        <f t="shared" si="322"/>
        <v>0</v>
      </c>
    </row>
    <row r="564" spans="1:12" ht="39.6" x14ac:dyDescent="0.25">
      <c r="A564" s="325" t="s">
        <v>784</v>
      </c>
      <c r="B564" s="334"/>
      <c r="C564" s="331"/>
      <c r="D564" s="325" t="s">
        <v>849</v>
      </c>
      <c r="E564" s="332" t="s">
        <v>217</v>
      </c>
      <c r="F564" s="379">
        <v>8</v>
      </c>
      <c r="G564" s="208"/>
      <c r="H564" s="208"/>
      <c r="I564" s="208">
        <f t="shared" si="315"/>
        <v>0</v>
      </c>
      <c r="J564" s="208">
        <f t="shared" si="316"/>
        <v>0</v>
      </c>
      <c r="K564" s="208">
        <f t="shared" si="317"/>
        <v>0</v>
      </c>
      <c r="L564" s="208">
        <f t="shared" si="318"/>
        <v>0</v>
      </c>
    </row>
    <row r="565" spans="1:12" ht="39.6" x14ac:dyDescent="0.25">
      <c r="A565" s="325" t="s">
        <v>785</v>
      </c>
      <c r="B565" s="334"/>
      <c r="C565" s="331"/>
      <c r="D565" s="325" t="s">
        <v>461</v>
      </c>
      <c r="E565" s="332" t="s">
        <v>217</v>
      </c>
      <c r="F565" s="379">
        <v>15</v>
      </c>
      <c r="G565" s="208"/>
      <c r="H565" s="208"/>
      <c r="I565" s="208">
        <f t="shared" si="315"/>
        <v>0</v>
      </c>
      <c r="J565" s="208">
        <f t="shared" si="316"/>
        <v>0</v>
      </c>
      <c r="K565" s="208">
        <f t="shared" si="317"/>
        <v>0</v>
      </c>
      <c r="L565" s="208">
        <f t="shared" si="318"/>
        <v>0</v>
      </c>
    </row>
    <row r="566" spans="1:12" ht="26.4" x14ac:dyDescent="0.25">
      <c r="A566" s="325" t="s">
        <v>786</v>
      </c>
      <c r="B566" s="349"/>
      <c r="C566" s="350"/>
      <c r="D566" s="351" t="s">
        <v>988</v>
      </c>
      <c r="E566" s="352" t="s">
        <v>89</v>
      </c>
      <c r="F566" s="324">
        <v>6</v>
      </c>
      <c r="G566" s="212"/>
      <c r="H566" s="212"/>
      <c r="I566" s="208">
        <f t="shared" si="315"/>
        <v>0</v>
      </c>
      <c r="J566" s="212">
        <f t="shared" si="316"/>
        <v>0</v>
      </c>
      <c r="K566" s="212">
        <f t="shared" si="317"/>
        <v>0</v>
      </c>
      <c r="L566" s="212">
        <f t="shared" si="318"/>
        <v>0</v>
      </c>
    </row>
    <row r="567" spans="1:12" x14ac:dyDescent="0.25">
      <c r="A567" s="325" t="s">
        <v>787</v>
      </c>
      <c r="B567" s="334"/>
      <c r="C567" s="331"/>
      <c r="D567" s="325" t="s">
        <v>214</v>
      </c>
      <c r="E567" s="332" t="s">
        <v>217</v>
      </c>
      <c r="F567" s="379">
        <v>25</v>
      </c>
      <c r="G567" s="208"/>
      <c r="H567" s="208"/>
      <c r="I567" s="208">
        <f t="shared" si="315"/>
        <v>0</v>
      </c>
      <c r="J567" s="208">
        <f t="shared" si="316"/>
        <v>0</v>
      </c>
      <c r="K567" s="208">
        <f t="shared" si="317"/>
        <v>0</v>
      </c>
      <c r="L567" s="208">
        <f t="shared" si="318"/>
        <v>0</v>
      </c>
    </row>
    <row r="568" spans="1:12" ht="26.4" x14ac:dyDescent="0.25">
      <c r="A568" s="325" t="s">
        <v>788</v>
      </c>
      <c r="B568" s="334"/>
      <c r="C568" s="350"/>
      <c r="D568" s="351" t="s">
        <v>850</v>
      </c>
      <c r="E568" s="332" t="s">
        <v>217</v>
      </c>
      <c r="F568" s="324">
        <v>1</v>
      </c>
      <c r="G568" s="212"/>
      <c r="H568" s="212"/>
      <c r="I568" s="208">
        <f t="shared" si="315"/>
        <v>0</v>
      </c>
      <c r="J568" s="212">
        <f t="shared" si="316"/>
        <v>0</v>
      </c>
      <c r="K568" s="212">
        <f t="shared" si="317"/>
        <v>0</v>
      </c>
      <c r="L568" s="212">
        <f t="shared" si="318"/>
        <v>0</v>
      </c>
    </row>
    <row r="569" spans="1:12" x14ac:dyDescent="0.25">
      <c r="A569" s="325" t="s">
        <v>789</v>
      </c>
      <c r="B569" s="330"/>
      <c r="C569" s="331"/>
      <c r="D569" s="325" t="s">
        <v>253</v>
      </c>
      <c r="E569" s="332" t="s">
        <v>217</v>
      </c>
      <c r="F569" s="379">
        <v>33</v>
      </c>
      <c r="G569" s="208"/>
      <c r="H569" s="208"/>
      <c r="I569" s="208">
        <f t="shared" si="315"/>
        <v>0</v>
      </c>
      <c r="J569" s="208">
        <f t="shared" si="316"/>
        <v>0</v>
      </c>
      <c r="K569" s="208">
        <f t="shared" si="317"/>
        <v>0</v>
      </c>
      <c r="L569" s="208">
        <f t="shared" si="318"/>
        <v>0</v>
      </c>
    </row>
    <row r="570" spans="1:12" x14ac:dyDescent="0.25">
      <c r="A570" s="325" t="s">
        <v>790</v>
      </c>
      <c r="B570" s="334"/>
      <c r="C570" s="331"/>
      <c r="D570" s="325" t="s">
        <v>254</v>
      </c>
      <c r="E570" s="332" t="s">
        <v>217</v>
      </c>
      <c r="F570" s="379">
        <v>6</v>
      </c>
      <c r="G570" s="208"/>
      <c r="H570" s="208"/>
      <c r="I570" s="208">
        <f t="shared" si="315"/>
        <v>0</v>
      </c>
      <c r="J570" s="208">
        <f t="shared" si="316"/>
        <v>0</v>
      </c>
      <c r="K570" s="208">
        <f t="shared" si="317"/>
        <v>0</v>
      </c>
      <c r="L570" s="208">
        <f t="shared" si="318"/>
        <v>0</v>
      </c>
    </row>
    <row r="571" spans="1:12" x14ac:dyDescent="0.25">
      <c r="A571" s="325" t="s">
        <v>791</v>
      </c>
      <c r="B571" s="334"/>
      <c r="C571" s="331"/>
      <c r="D571" s="325" t="s">
        <v>220</v>
      </c>
      <c r="E571" s="332" t="s">
        <v>89</v>
      </c>
      <c r="F571" s="379">
        <v>30</v>
      </c>
      <c r="G571" s="208"/>
      <c r="H571" s="208"/>
      <c r="I571" s="208">
        <f t="shared" si="315"/>
        <v>0</v>
      </c>
      <c r="J571" s="208">
        <f t="shared" si="316"/>
        <v>0</v>
      </c>
      <c r="K571" s="208">
        <f t="shared" si="317"/>
        <v>0</v>
      </c>
      <c r="L571" s="208">
        <f t="shared" si="318"/>
        <v>0</v>
      </c>
    </row>
    <row r="572" spans="1:12" ht="26.4" x14ac:dyDescent="0.25">
      <c r="A572" s="325" t="s">
        <v>792</v>
      </c>
      <c r="B572" s="334"/>
      <c r="C572" s="331"/>
      <c r="D572" s="325" t="s">
        <v>221</v>
      </c>
      <c r="E572" s="332" t="s">
        <v>217</v>
      </c>
      <c r="F572" s="379">
        <v>2</v>
      </c>
      <c r="G572" s="208"/>
      <c r="H572" s="208"/>
      <c r="I572" s="208">
        <f t="shared" si="315"/>
        <v>0</v>
      </c>
      <c r="J572" s="208">
        <f t="shared" si="316"/>
        <v>0</v>
      </c>
      <c r="K572" s="208">
        <f t="shared" si="317"/>
        <v>0</v>
      </c>
      <c r="L572" s="208">
        <f t="shared" si="318"/>
        <v>0</v>
      </c>
    </row>
    <row r="573" spans="1:12" ht="26.4" x14ac:dyDescent="0.25">
      <c r="A573" s="325" t="s">
        <v>793</v>
      </c>
      <c r="B573" s="334"/>
      <c r="C573" s="331"/>
      <c r="D573" s="325" t="s">
        <v>223</v>
      </c>
      <c r="E573" s="332" t="s">
        <v>217</v>
      </c>
      <c r="F573" s="379">
        <v>30</v>
      </c>
      <c r="G573" s="208"/>
      <c r="H573" s="208"/>
      <c r="I573" s="208">
        <f t="shared" si="315"/>
        <v>0</v>
      </c>
      <c r="J573" s="208">
        <f t="shared" si="316"/>
        <v>0</v>
      </c>
      <c r="K573" s="208">
        <f t="shared" si="317"/>
        <v>0</v>
      </c>
      <c r="L573" s="208">
        <f t="shared" si="318"/>
        <v>0</v>
      </c>
    </row>
    <row r="574" spans="1:12" ht="26.4" x14ac:dyDescent="0.25">
      <c r="A574" s="325" t="s">
        <v>794</v>
      </c>
      <c r="B574" s="334"/>
      <c r="C574" s="331"/>
      <c r="D574" s="325" t="s">
        <v>222</v>
      </c>
      <c r="E574" s="332" t="s">
        <v>217</v>
      </c>
      <c r="F574" s="379">
        <v>36</v>
      </c>
      <c r="G574" s="208"/>
      <c r="H574" s="208"/>
      <c r="I574" s="208">
        <f t="shared" si="315"/>
        <v>0</v>
      </c>
      <c r="J574" s="208">
        <f t="shared" si="316"/>
        <v>0</v>
      </c>
      <c r="K574" s="208">
        <f t="shared" si="317"/>
        <v>0</v>
      </c>
      <c r="L574" s="208">
        <f t="shared" si="318"/>
        <v>0</v>
      </c>
    </row>
    <row r="575" spans="1:12" x14ac:dyDescent="0.25">
      <c r="A575" s="325" t="s">
        <v>795</v>
      </c>
      <c r="B575" s="334"/>
      <c r="C575" s="331"/>
      <c r="D575" s="325" t="s">
        <v>464</v>
      </c>
      <c r="E575" s="332" t="s">
        <v>217</v>
      </c>
      <c r="F575" s="379">
        <v>9</v>
      </c>
      <c r="G575" s="208"/>
      <c r="H575" s="208"/>
      <c r="I575" s="208">
        <f t="shared" si="315"/>
        <v>0</v>
      </c>
      <c r="J575" s="208">
        <f t="shared" si="316"/>
        <v>0</v>
      </c>
      <c r="K575" s="208">
        <f t="shared" si="317"/>
        <v>0</v>
      </c>
      <c r="L575" s="208">
        <f t="shared" si="318"/>
        <v>0</v>
      </c>
    </row>
    <row r="576" spans="1:12" ht="26.4" x14ac:dyDescent="0.25">
      <c r="A576" s="325" t="s">
        <v>796</v>
      </c>
      <c r="B576" s="334"/>
      <c r="C576" s="331"/>
      <c r="D576" s="325" t="s">
        <v>219</v>
      </c>
      <c r="E576" s="332" t="s">
        <v>89</v>
      </c>
      <c r="F576" s="379">
        <v>18</v>
      </c>
      <c r="G576" s="208"/>
      <c r="H576" s="208"/>
      <c r="I576" s="208">
        <f>TRUNC(SUM(G576:H576),2)</f>
        <v>0</v>
      </c>
      <c r="J576" s="208">
        <f>TRUNC(F576*G576,2)</f>
        <v>0</v>
      </c>
      <c r="K576" s="208">
        <f>TRUNC(F576*H576,2)</f>
        <v>0</v>
      </c>
      <c r="L576" s="208">
        <f>TRUNC(SUM(J576,K576),2)</f>
        <v>0</v>
      </c>
    </row>
    <row r="577" spans="1:12" ht="26.4" x14ac:dyDescent="0.25">
      <c r="A577" s="325" t="s">
        <v>797</v>
      </c>
      <c r="B577" s="334"/>
      <c r="C577" s="331"/>
      <c r="D577" s="325" t="s">
        <v>851</v>
      </c>
      <c r="E577" s="332" t="s">
        <v>217</v>
      </c>
      <c r="F577" s="379">
        <v>1</v>
      </c>
      <c r="G577" s="208"/>
      <c r="H577" s="208"/>
      <c r="I577" s="208">
        <f>TRUNC(SUM(G577:H577),2)</f>
        <v>0</v>
      </c>
      <c r="J577" s="208">
        <f>TRUNC(F577*G577,2)</f>
        <v>0</v>
      </c>
      <c r="K577" s="208">
        <f>TRUNC(F577*H577,2)</f>
        <v>0</v>
      </c>
      <c r="L577" s="208">
        <f>TRUNC(SUM(J577,K577),2)</f>
        <v>0</v>
      </c>
    </row>
    <row r="578" spans="1:12" x14ac:dyDescent="0.25">
      <c r="A578" s="325" t="s">
        <v>798</v>
      </c>
      <c r="B578" s="334"/>
      <c r="C578" s="331"/>
      <c r="D578" s="325" t="s">
        <v>852</v>
      </c>
      <c r="E578" s="332" t="s">
        <v>217</v>
      </c>
      <c r="F578" s="379">
        <v>1</v>
      </c>
      <c r="G578" s="208"/>
      <c r="H578" s="208"/>
      <c r="I578" s="208">
        <f>TRUNC(SUM(G578:H578),2)</f>
        <v>0</v>
      </c>
      <c r="J578" s="208">
        <f>TRUNC(F578*G578,2)</f>
        <v>0</v>
      </c>
      <c r="K578" s="208">
        <f>TRUNC(F578*H578,2)</f>
        <v>0</v>
      </c>
      <c r="L578" s="208">
        <f>TRUNC(SUM(J578,K578),2)</f>
        <v>0</v>
      </c>
    </row>
    <row r="579" spans="1:12" ht="26.4" x14ac:dyDescent="0.25">
      <c r="A579" s="325" t="s">
        <v>799</v>
      </c>
      <c r="B579" s="354"/>
      <c r="C579" s="344"/>
      <c r="D579" s="342" t="s">
        <v>985</v>
      </c>
      <c r="E579" s="345" t="s">
        <v>217</v>
      </c>
      <c r="F579" s="379">
        <v>2</v>
      </c>
      <c r="G579" s="208"/>
      <c r="H579" s="208"/>
      <c r="I579" s="208">
        <f t="shared" ref="I579" si="323">TRUNC(SUM(G579:H579),2)</f>
        <v>0</v>
      </c>
      <c r="J579" s="208">
        <f t="shared" ref="J579" si="324">TRUNC(F579*G579,2)</f>
        <v>0</v>
      </c>
      <c r="K579" s="208">
        <f t="shared" ref="K579" si="325">TRUNC(F579*H579,2)</f>
        <v>0</v>
      </c>
      <c r="L579" s="208">
        <f t="shared" ref="L579" si="326">TRUNC(SUM(J579,K579),2)</f>
        <v>0</v>
      </c>
    </row>
    <row r="580" spans="1:12" x14ac:dyDescent="0.25">
      <c r="A580" s="325" t="s">
        <v>800</v>
      </c>
      <c r="B580" s="334"/>
      <c r="C580" s="331"/>
      <c r="D580" s="325" t="s">
        <v>853</v>
      </c>
      <c r="E580" s="332" t="s">
        <v>217</v>
      </c>
      <c r="F580" s="379">
        <v>2</v>
      </c>
      <c r="G580" s="208"/>
      <c r="H580" s="208"/>
      <c r="I580" s="208">
        <f t="shared" si="315"/>
        <v>0</v>
      </c>
      <c r="J580" s="208">
        <f t="shared" si="316"/>
        <v>0</v>
      </c>
      <c r="K580" s="208">
        <f t="shared" si="317"/>
        <v>0</v>
      </c>
      <c r="L580" s="208">
        <f t="shared" si="318"/>
        <v>0</v>
      </c>
    </row>
    <row r="581" spans="1:12" x14ac:dyDescent="0.25">
      <c r="A581" s="325" t="s">
        <v>801</v>
      </c>
      <c r="B581" s="334"/>
      <c r="C581" s="331"/>
      <c r="D581" s="325" t="s">
        <v>255</v>
      </c>
      <c r="E581" s="332" t="s">
        <v>217</v>
      </c>
      <c r="F581" s="379">
        <v>1</v>
      </c>
      <c r="G581" s="208"/>
      <c r="H581" s="208"/>
      <c r="I581" s="208">
        <f t="shared" si="315"/>
        <v>0</v>
      </c>
      <c r="J581" s="208">
        <f t="shared" si="316"/>
        <v>0</v>
      </c>
      <c r="K581" s="208">
        <f t="shared" si="317"/>
        <v>0</v>
      </c>
      <c r="L581" s="208">
        <f t="shared" si="318"/>
        <v>0</v>
      </c>
    </row>
    <row r="582" spans="1:12" ht="26.4" x14ac:dyDescent="0.25">
      <c r="A582" s="325" t="s">
        <v>802</v>
      </c>
      <c r="B582" s="334"/>
      <c r="C582" s="331"/>
      <c r="D582" s="325" t="s">
        <v>256</v>
      </c>
      <c r="E582" s="332" t="s">
        <v>217</v>
      </c>
      <c r="F582" s="379">
        <v>4</v>
      </c>
      <c r="G582" s="208"/>
      <c r="H582" s="208"/>
      <c r="I582" s="208">
        <f t="shared" si="315"/>
        <v>0</v>
      </c>
      <c r="J582" s="208">
        <f t="shared" si="316"/>
        <v>0</v>
      </c>
      <c r="K582" s="208">
        <f t="shared" si="317"/>
        <v>0</v>
      </c>
      <c r="L582" s="208">
        <f t="shared" si="318"/>
        <v>0</v>
      </c>
    </row>
    <row r="583" spans="1:12" ht="26.4" x14ac:dyDescent="0.25">
      <c r="A583" s="325" t="s">
        <v>803</v>
      </c>
      <c r="B583" s="334"/>
      <c r="C583" s="331"/>
      <c r="D583" s="325" t="s">
        <v>257</v>
      </c>
      <c r="E583" s="332" t="s">
        <v>217</v>
      </c>
      <c r="F583" s="346">
        <v>6</v>
      </c>
      <c r="G583" s="208"/>
      <c r="H583" s="208"/>
      <c r="I583" s="208">
        <f t="shared" si="315"/>
        <v>0</v>
      </c>
      <c r="J583" s="208">
        <f t="shared" si="316"/>
        <v>0</v>
      </c>
      <c r="K583" s="208">
        <f t="shared" si="317"/>
        <v>0</v>
      </c>
      <c r="L583" s="208">
        <f t="shared" si="318"/>
        <v>0</v>
      </c>
    </row>
    <row r="584" spans="1:12" ht="26.4" x14ac:dyDescent="0.25">
      <c r="A584" s="325" t="s">
        <v>804</v>
      </c>
      <c r="B584" s="334"/>
      <c r="C584" s="331"/>
      <c r="D584" s="325" t="s">
        <v>258</v>
      </c>
      <c r="E584" s="332" t="s">
        <v>217</v>
      </c>
      <c r="F584" s="379">
        <v>2</v>
      </c>
      <c r="G584" s="208"/>
      <c r="H584" s="208"/>
      <c r="I584" s="208">
        <f t="shared" si="315"/>
        <v>0</v>
      </c>
      <c r="J584" s="208">
        <f t="shared" si="316"/>
        <v>0</v>
      </c>
      <c r="K584" s="208">
        <f t="shared" si="317"/>
        <v>0</v>
      </c>
      <c r="L584" s="208">
        <f t="shared" si="318"/>
        <v>0</v>
      </c>
    </row>
    <row r="585" spans="1:12" ht="26.4" x14ac:dyDescent="0.25">
      <c r="A585" s="325" t="s">
        <v>805</v>
      </c>
      <c r="B585" s="330"/>
      <c r="C585" s="331"/>
      <c r="D585" s="325" t="s">
        <v>261</v>
      </c>
      <c r="E585" s="332" t="s">
        <v>89</v>
      </c>
      <c r="F585" s="346">
        <v>756.8</v>
      </c>
      <c r="G585" s="208"/>
      <c r="H585" s="208"/>
      <c r="I585" s="208">
        <f>TRUNC(SUM(G585:H585),2)</f>
        <v>0</v>
      </c>
      <c r="J585" s="208">
        <f>TRUNC(F585*G585,2)</f>
        <v>0</v>
      </c>
      <c r="K585" s="208">
        <f>TRUNC(F585*H585,2)</f>
        <v>0</v>
      </c>
      <c r="L585" s="208">
        <f>TRUNC(SUM(J585,K585),2)</f>
        <v>0</v>
      </c>
    </row>
    <row r="586" spans="1:12" ht="26.4" x14ac:dyDescent="0.25">
      <c r="A586" s="325" t="s">
        <v>806</v>
      </c>
      <c r="B586" s="349"/>
      <c r="C586" s="350"/>
      <c r="D586" s="351" t="s">
        <v>260</v>
      </c>
      <c r="E586" s="332" t="s">
        <v>217</v>
      </c>
      <c r="F586" s="324">
        <v>2</v>
      </c>
      <c r="G586" s="212"/>
      <c r="H586" s="212"/>
      <c r="I586" s="208">
        <f t="shared" ref="I586:I595" si="327">TRUNC(SUM(G586:H586),2)</f>
        <v>0</v>
      </c>
      <c r="J586" s="208">
        <f t="shared" si="316"/>
        <v>0</v>
      </c>
      <c r="K586" s="208">
        <f t="shared" si="317"/>
        <v>0</v>
      </c>
      <c r="L586" s="208">
        <f t="shared" si="318"/>
        <v>0</v>
      </c>
    </row>
    <row r="587" spans="1:12" ht="26.4" x14ac:dyDescent="0.25">
      <c r="A587" s="325" t="s">
        <v>807</v>
      </c>
      <c r="B587" s="349"/>
      <c r="C587" s="350"/>
      <c r="D587" s="351" t="s">
        <v>262</v>
      </c>
      <c r="E587" s="332" t="s">
        <v>217</v>
      </c>
      <c r="F587" s="324">
        <v>2</v>
      </c>
      <c r="G587" s="212"/>
      <c r="H587" s="212"/>
      <c r="I587" s="208">
        <f t="shared" si="327"/>
        <v>0</v>
      </c>
      <c r="J587" s="208">
        <f t="shared" si="316"/>
        <v>0</v>
      </c>
      <c r="K587" s="208">
        <f t="shared" si="317"/>
        <v>0</v>
      </c>
      <c r="L587" s="208">
        <f t="shared" si="318"/>
        <v>0</v>
      </c>
    </row>
    <row r="588" spans="1:12" ht="26.4" x14ac:dyDescent="0.25">
      <c r="A588" s="325" t="s">
        <v>808</v>
      </c>
      <c r="B588" s="334"/>
      <c r="C588" s="331"/>
      <c r="D588" s="325" t="s">
        <v>259</v>
      </c>
      <c r="E588" s="332" t="s">
        <v>217</v>
      </c>
      <c r="F588" s="346">
        <v>92</v>
      </c>
      <c r="G588" s="208"/>
      <c r="H588" s="208"/>
      <c r="I588" s="208">
        <f>TRUNC(SUM(G588:H588),2)</f>
        <v>0</v>
      </c>
      <c r="J588" s="208">
        <f>TRUNC(F588*G588,2)</f>
        <v>0</v>
      </c>
      <c r="K588" s="208">
        <f>TRUNC(F588*H588,2)</f>
        <v>0</v>
      </c>
      <c r="L588" s="208">
        <f>TRUNC(SUM(J588,K588),2)</f>
        <v>0</v>
      </c>
    </row>
    <row r="589" spans="1:12" x14ac:dyDescent="0.25">
      <c r="A589" s="325" t="s">
        <v>809</v>
      </c>
      <c r="B589" s="349"/>
      <c r="C589" s="331"/>
      <c r="D589" s="351" t="s">
        <v>986</v>
      </c>
      <c r="E589" s="352" t="s">
        <v>217</v>
      </c>
      <c r="F589" s="378">
        <v>92</v>
      </c>
      <c r="G589" s="212"/>
      <c r="H589" s="212"/>
      <c r="I589" s="208">
        <f>TRUNC(SUM(G589:H589),2)</f>
        <v>0</v>
      </c>
      <c r="J589" s="212">
        <f>TRUNC(F589*G589,2)</f>
        <v>0</v>
      </c>
      <c r="K589" s="212">
        <f>TRUNC(F589*H589,2)</f>
        <v>0</v>
      </c>
      <c r="L589" s="212">
        <f>TRUNC(SUM(J589,K589),2)</f>
        <v>0</v>
      </c>
    </row>
    <row r="590" spans="1:12" x14ac:dyDescent="0.25">
      <c r="A590" s="325" t="s">
        <v>810</v>
      </c>
      <c r="B590" s="349"/>
      <c r="C590" s="331"/>
      <c r="D590" s="351" t="s">
        <v>991</v>
      </c>
      <c r="E590" s="352" t="s">
        <v>217</v>
      </c>
      <c r="F590" s="378">
        <v>46</v>
      </c>
      <c r="G590" s="212"/>
      <c r="H590" s="212"/>
      <c r="I590" s="208">
        <f>TRUNC(SUM(G590:H590),2)</f>
        <v>0</v>
      </c>
      <c r="J590" s="212">
        <f>TRUNC(F590*G590,2)</f>
        <v>0</v>
      </c>
      <c r="K590" s="212">
        <f>TRUNC(F590*H590,2)</f>
        <v>0</v>
      </c>
      <c r="L590" s="212">
        <f>TRUNC(SUM(J590,K590),2)</f>
        <v>0</v>
      </c>
    </row>
    <row r="591" spans="1:12" ht="26.4" x14ac:dyDescent="0.25">
      <c r="A591" s="325" t="s">
        <v>811</v>
      </c>
      <c r="B591" s="388"/>
      <c r="C591" s="350"/>
      <c r="D591" s="351" t="s">
        <v>229</v>
      </c>
      <c r="E591" s="352" t="s">
        <v>89</v>
      </c>
      <c r="F591" s="324">
        <f>20*2.2</f>
        <v>44</v>
      </c>
      <c r="G591" s="212"/>
      <c r="H591" s="212"/>
      <c r="I591" s="208">
        <f t="shared" si="327"/>
        <v>0</v>
      </c>
      <c r="J591" s="208">
        <f t="shared" si="316"/>
        <v>0</v>
      </c>
      <c r="K591" s="208">
        <f t="shared" si="317"/>
        <v>0</v>
      </c>
      <c r="L591" s="208">
        <f t="shared" si="318"/>
        <v>0</v>
      </c>
    </row>
    <row r="592" spans="1:12" ht="26.4" x14ac:dyDescent="0.25">
      <c r="A592" s="325" t="s">
        <v>812</v>
      </c>
      <c r="B592" s="388"/>
      <c r="C592" s="350"/>
      <c r="D592" s="351" t="s">
        <v>230</v>
      </c>
      <c r="E592" s="352" t="s">
        <v>89</v>
      </c>
      <c r="F592" s="324">
        <f>F591</f>
        <v>44</v>
      </c>
      <c r="G592" s="212"/>
      <c r="H592" s="212"/>
      <c r="I592" s="208">
        <f t="shared" si="327"/>
        <v>0</v>
      </c>
      <c r="J592" s="208">
        <f t="shared" si="316"/>
        <v>0</v>
      </c>
      <c r="K592" s="208">
        <f t="shared" si="317"/>
        <v>0</v>
      </c>
      <c r="L592" s="208">
        <f t="shared" si="318"/>
        <v>0</v>
      </c>
    </row>
    <row r="593" spans="1:12" ht="27" customHeight="1" x14ac:dyDescent="0.25">
      <c r="A593" s="325" t="s">
        <v>813</v>
      </c>
      <c r="B593" s="388"/>
      <c r="C593" s="350"/>
      <c r="D593" s="351" t="s">
        <v>215</v>
      </c>
      <c r="E593" s="352" t="s">
        <v>217</v>
      </c>
      <c r="F593" s="324">
        <v>1</v>
      </c>
      <c r="G593" s="212"/>
      <c r="H593" s="212"/>
      <c r="I593" s="208">
        <f t="shared" si="327"/>
        <v>0</v>
      </c>
      <c r="J593" s="208">
        <f t="shared" si="316"/>
        <v>0</v>
      </c>
      <c r="K593" s="208">
        <f t="shared" si="317"/>
        <v>0</v>
      </c>
      <c r="L593" s="208">
        <f t="shared" si="318"/>
        <v>0</v>
      </c>
    </row>
    <row r="594" spans="1:12" ht="26.4" x14ac:dyDescent="0.25">
      <c r="A594" s="325" t="s">
        <v>987</v>
      </c>
      <c r="B594" s="388"/>
      <c r="C594" s="350"/>
      <c r="D594" s="351" t="s">
        <v>216</v>
      </c>
      <c r="E594" s="352" t="s">
        <v>217</v>
      </c>
      <c r="F594" s="324">
        <v>11</v>
      </c>
      <c r="G594" s="212"/>
      <c r="H594" s="212"/>
      <c r="I594" s="208">
        <f t="shared" si="327"/>
        <v>0</v>
      </c>
      <c r="J594" s="208">
        <f t="shared" si="316"/>
        <v>0</v>
      </c>
      <c r="K594" s="208">
        <f t="shared" si="317"/>
        <v>0</v>
      </c>
      <c r="L594" s="208">
        <f t="shared" si="318"/>
        <v>0</v>
      </c>
    </row>
    <row r="595" spans="1:12" x14ac:dyDescent="0.25">
      <c r="A595" s="325" t="s">
        <v>989</v>
      </c>
      <c r="B595" s="334"/>
      <c r="C595" s="331"/>
      <c r="D595" s="351" t="s">
        <v>854</v>
      </c>
      <c r="E595" s="352" t="s">
        <v>217</v>
      </c>
      <c r="F595" s="324">
        <v>2</v>
      </c>
      <c r="G595" s="212"/>
      <c r="H595" s="212"/>
      <c r="I595" s="208">
        <f t="shared" si="327"/>
        <v>0</v>
      </c>
      <c r="J595" s="212">
        <f t="shared" si="316"/>
        <v>0</v>
      </c>
      <c r="K595" s="212">
        <f t="shared" si="317"/>
        <v>0</v>
      </c>
      <c r="L595" s="212">
        <f t="shared" si="318"/>
        <v>0</v>
      </c>
    </row>
    <row r="596" spans="1:12" ht="26.4" x14ac:dyDescent="0.25">
      <c r="A596" s="325" t="s">
        <v>990</v>
      </c>
      <c r="B596" s="349"/>
      <c r="C596" s="350"/>
      <c r="D596" s="351" t="s">
        <v>582</v>
      </c>
      <c r="E596" s="352" t="s">
        <v>217</v>
      </c>
      <c r="F596" s="378">
        <f>F569+F570*2</f>
        <v>45</v>
      </c>
      <c r="G596" s="212"/>
      <c r="H596" s="212"/>
      <c r="I596" s="212">
        <f>TRUNC(SUM(G596:H596),2)</f>
        <v>0</v>
      </c>
      <c r="J596" s="212">
        <f>TRUNC(F596*G596,2)</f>
        <v>0</v>
      </c>
      <c r="K596" s="212">
        <f>TRUNC(F596*H596,2)</f>
        <v>0</v>
      </c>
      <c r="L596" s="212">
        <f>TRUNC(SUM(J596,K596),2)</f>
        <v>0</v>
      </c>
    </row>
    <row r="597" spans="1:12" x14ac:dyDescent="0.25">
      <c r="A597" s="364"/>
      <c r="B597" s="365"/>
      <c r="C597" s="366"/>
      <c r="D597" s="367" t="s">
        <v>324</v>
      </c>
      <c r="E597" s="368" t="s">
        <v>325</v>
      </c>
      <c r="F597" s="369"/>
      <c r="G597" s="370"/>
      <c r="H597" s="370"/>
      <c r="I597" s="370"/>
      <c r="J597" s="371">
        <f>SUM(J556:J596)</f>
        <v>0</v>
      </c>
      <c r="K597" s="371">
        <f>SUM(K556:K596)</f>
        <v>0</v>
      </c>
      <c r="L597" s="370"/>
    </row>
    <row r="598" spans="1:12" x14ac:dyDescent="0.25">
      <c r="A598" s="372"/>
      <c r="B598" s="373"/>
      <c r="C598" s="373"/>
      <c r="D598" s="372" t="s">
        <v>325</v>
      </c>
      <c r="E598" s="373" t="s">
        <v>325</v>
      </c>
      <c r="F598" s="374"/>
      <c r="G598" s="375"/>
      <c r="H598" s="375"/>
      <c r="I598" s="375"/>
      <c r="J598" s="376"/>
      <c r="K598" s="376">
        <f>SUM(J597:K597)</f>
        <v>0</v>
      </c>
      <c r="L598" s="375"/>
    </row>
    <row r="599" spans="1:12" x14ac:dyDescent="0.25">
      <c r="A599" s="206">
        <v>18</v>
      </c>
      <c r="B599" s="335"/>
      <c r="C599" s="335"/>
      <c r="D599" s="206" t="s">
        <v>263</v>
      </c>
      <c r="E599" s="206"/>
      <c r="F599" s="377"/>
      <c r="G599" s="210"/>
      <c r="H599" s="210"/>
      <c r="I599" s="210"/>
      <c r="J599" s="210"/>
      <c r="K599" s="210"/>
      <c r="L599" s="337">
        <f>L600+L604</f>
        <v>0</v>
      </c>
    </row>
    <row r="600" spans="1:12" s="341" customFormat="1" x14ac:dyDescent="0.25">
      <c r="A600" s="389" t="s">
        <v>631</v>
      </c>
      <c r="B600" s="389"/>
      <c r="C600" s="389"/>
      <c r="D600" s="389" t="s">
        <v>264</v>
      </c>
      <c r="E600" s="389"/>
      <c r="F600" s="390"/>
      <c r="G600" s="213"/>
      <c r="H600" s="213"/>
      <c r="I600" s="213"/>
      <c r="J600" s="213"/>
      <c r="K600" s="213"/>
      <c r="L600" s="391">
        <f>SUM(L601:L603)</f>
        <v>0</v>
      </c>
    </row>
    <row r="601" spans="1:12" s="347" customFormat="1" x14ac:dyDescent="0.25">
      <c r="A601" s="342" t="s">
        <v>814</v>
      </c>
      <c r="B601" s="354"/>
      <c r="C601" s="344"/>
      <c r="D601" s="342" t="s">
        <v>265</v>
      </c>
      <c r="E601" s="345" t="s">
        <v>17</v>
      </c>
      <c r="F601" s="346">
        <v>405.74</v>
      </c>
      <c r="G601" s="327"/>
      <c r="H601" s="327"/>
      <c r="I601" s="327">
        <f t="shared" ref="I601:I603" si="328">TRUNC(SUM(G601:H601),2)</f>
        <v>0</v>
      </c>
      <c r="J601" s="327">
        <f t="shared" ref="J601:J603" si="329">TRUNC(F601*G601,2)</f>
        <v>0</v>
      </c>
      <c r="K601" s="327">
        <f t="shared" ref="K601:K603" si="330">TRUNC(F601*H601,2)</f>
        <v>0</v>
      </c>
      <c r="L601" s="327">
        <f t="shared" ref="L601:L603" si="331">TRUNC(SUM(J601,K601),2)</f>
        <v>0</v>
      </c>
    </row>
    <row r="602" spans="1:12" s="347" customFormat="1" ht="39.75" customHeight="1" x14ac:dyDescent="0.25">
      <c r="A602" s="342" t="s">
        <v>815</v>
      </c>
      <c r="B602" s="343"/>
      <c r="C602" s="344"/>
      <c r="D602" s="342" t="s">
        <v>266</v>
      </c>
      <c r="E602" s="345" t="s">
        <v>58</v>
      </c>
      <c r="F602" s="346">
        <v>112.71</v>
      </c>
      <c r="G602" s="327"/>
      <c r="H602" s="327"/>
      <c r="I602" s="327">
        <f t="shared" si="328"/>
        <v>0</v>
      </c>
      <c r="J602" s="327">
        <f t="shared" si="329"/>
        <v>0</v>
      </c>
      <c r="K602" s="327">
        <f t="shared" si="330"/>
        <v>0</v>
      </c>
      <c r="L602" s="327">
        <f t="shared" si="331"/>
        <v>0</v>
      </c>
    </row>
    <row r="603" spans="1:12" s="347" customFormat="1" ht="26.4" x14ac:dyDescent="0.25">
      <c r="A603" s="342" t="s">
        <v>816</v>
      </c>
      <c r="B603" s="343"/>
      <c r="C603" s="344"/>
      <c r="D603" s="342" t="s">
        <v>68</v>
      </c>
      <c r="E603" s="345" t="s">
        <v>69</v>
      </c>
      <c r="F603" s="346">
        <v>3381.3</v>
      </c>
      <c r="G603" s="327"/>
      <c r="H603" s="327"/>
      <c r="I603" s="327">
        <f t="shared" si="328"/>
        <v>0</v>
      </c>
      <c r="J603" s="327">
        <f t="shared" si="329"/>
        <v>0</v>
      </c>
      <c r="K603" s="327">
        <f t="shared" si="330"/>
        <v>0</v>
      </c>
      <c r="L603" s="327">
        <f t="shared" si="331"/>
        <v>0</v>
      </c>
    </row>
    <row r="604" spans="1:12" s="341" customFormat="1" x14ac:dyDescent="0.25">
      <c r="A604" s="389" t="s">
        <v>632</v>
      </c>
      <c r="B604" s="389"/>
      <c r="C604" s="389"/>
      <c r="D604" s="389" t="s">
        <v>486</v>
      </c>
      <c r="E604" s="389"/>
      <c r="F604" s="390"/>
      <c r="G604" s="213"/>
      <c r="H604" s="213"/>
      <c r="I604" s="213"/>
      <c r="J604" s="213"/>
      <c r="K604" s="213"/>
      <c r="L604" s="391">
        <f>SUM(L605:L608)</f>
        <v>0</v>
      </c>
    </row>
    <row r="605" spans="1:12" s="347" customFormat="1" ht="26.4" x14ac:dyDescent="0.25">
      <c r="A605" s="342" t="s">
        <v>817</v>
      </c>
      <c r="B605" s="354"/>
      <c r="C605" s="344"/>
      <c r="D605" s="342" t="s">
        <v>656</v>
      </c>
      <c r="E605" s="345" t="s">
        <v>17</v>
      </c>
      <c r="F605" s="346">
        <v>4.2</v>
      </c>
      <c r="G605" s="327"/>
      <c r="H605" s="327"/>
      <c r="I605" s="327">
        <f t="shared" ref="I605:I607" si="332">TRUNC(SUM(G605:H605),2)</f>
        <v>0</v>
      </c>
      <c r="J605" s="327">
        <f t="shared" ref="J605:J607" si="333">TRUNC(F605*G605,2)</f>
        <v>0</v>
      </c>
      <c r="K605" s="327">
        <f t="shared" ref="K605:K607" si="334">TRUNC(F605*H605,2)</f>
        <v>0</v>
      </c>
      <c r="L605" s="327">
        <f t="shared" ref="L605:L607" si="335">TRUNC(SUM(J605,K605),2)</f>
        <v>0</v>
      </c>
    </row>
    <row r="606" spans="1:12" s="347" customFormat="1" x14ac:dyDescent="0.25">
      <c r="A606" s="342" t="s">
        <v>818</v>
      </c>
      <c r="B606" s="354"/>
      <c r="C606" s="344"/>
      <c r="D606" s="342" t="s">
        <v>487</v>
      </c>
      <c r="E606" s="345" t="s">
        <v>17</v>
      </c>
      <c r="F606" s="346">
        <v>2.86</v>
      </c>
      <c r="G606" s="327"/>
      <c r="H606" s="327"/>
      <c r="I606" s="327">
        <f t="shared" si="332"/>
        <v>0</v>
      </c>
      <c r="J606" s="327">
        <f t="shared" si="333"/>
        <v>0</v>
      </c>
      <c r="K606" s="327">
        <f t="shared" si="334"/>
        <v>0</v>
      </c>
      <c r="L606" s="327">
        <f t="shared" si="335"/>
        <v>0</v>
      </c>
    </row>
    <row r="607" spans="1:12" s="347" customFormat="1" x14ac:dyDescent="0.25">
      <c r="A607" s="342" t="s">
        <v>819</v>
      </c>
      <c r="B607" s="354"/>
      <c r="C607" s="344"/>
      <c r="D607" s="342" t="s">
        <v>408</v>
      </c>
      <c r="E607" s="345" t="s">
        <v>17</v>
      </c>
      <c r="F607" s="346">
        <v>2.86</v>
      </c>
      <c r="G607" s="327"/>
      <c r="H607" s="327"/>
      <c r="I607" s="327">
        <f t="shared" si="332"/>
        <v>0</v>
      </c>
      <c r="J607" s="327">
        <f t="shared" si="333"/>
        <v>0</v>
      </c>
      <c r="K607" s="327">
        <f t="shared" si="334"/>
        <v>0</v>
      </c>
      <c r="L607" s="327">
        <f t="shared" si="335"/>
        <v>0</v>
      </c>
    </row>
    <row r="608" spans="1:12" s="347" customFormat="1" ht="26.4" x14ac:dyDescent="0.25">
      <c r="A608" s="342" t="s">
        <v>837</v>
      </c>
      <c r="B608" s="361"/>
      <c r="C608" s="361"/>
      <c r="D608" s="362" t="s">
        <v>655</v>
      </c>
      <c r="E608" s="345" t="s">
        <v>17</v>
      </c>
      <c r="F608" s="378">
        <v>2</v>
      </c>
      <c r="G608" s="328"/>
      <c r="H608" s="327"/>
      <c r="I608" s="327">
        <f t="shared" ref="I608" si="336">TRUNC(SUM(G608:H608),2)</f>
        <v>0</v>
      </c>
      <c r="J608" s="327">
        <f t="shared" ref="J608" si="337">TRUNC(F608*G608,2)</f>
        <v>0</v>
      </c>
      <c r="K608" s="327">
        <f t="shared" ref="K608" si="338">TRUNC(F608*H608,2)</f>
        <v>0</v>
      </c>
      <c r="L608" s="327">
        <f t="shared" ref="L608" si="339">TRUNC(SUM(J608,K608),2)</f>
        <v>0</v>
      </c>
    </row>
    <row r="609" spans="1:14" x14ac:dyDescent="0.25">
      <c r="A609" s="364"/>
      <c r="B609" s="365"/>
      <c r="C609" s="366"/>
      <c r="D609" s="367" t="s">
        <v>324</v>
      </c>
      <c r="E609" s="368" t="s">
        <v>325</v>
      </c>
      <c r="F609" s="369"/>
      <c r="G609" s="370"/>
      <c r="H609" s="370"/>
      <c r="I609" s="370"/>
      <c r="J609" s="371">
        <f>SUM(J601:J608)</f>
        <v>0</v>
      </c>
      <c r="K609" s="371">
        <f>SUM(K601:K608)</f>
        <v>0</v>
      </c>
      <c r="L609" s="370"/>
    </row>
    <row r="610" spans="1:14" x14ac:dyDescent="0.25">
      <c r="A610" s="372"/>
      <c r="B610" s="373"/>
      <c r="C610" s="373"/>
      <c r="D610" s="395" t="s">
        <v>325</v>
      </c>
      <c r="E610" s="396" t="s">
        <v>325</v>
      </c>
      <c r="F610" s="397"/>
      <c r="G610" s="375"/>
      <c r="H610" s="375"/>
      <c r="I610" s="375"/>
      <c r="J610" s="376"/>
      <c r="K610" s="376">
        <f>SUM(J609:K609)</f>
        <v>0</v>
      </c>
      <c r="L610" s="375"/>
    </row>
    <row r="611" spans="1:14" x14ac:dyDescent="0.25">
      <c r="A611" s="215"/>
      <c r="B611" s="218"/>
      <c r="C611" s="218"/>
      <c r="D611" s="6" t="s">
        <v>326</v>
      </c>
      <c r="E611" s="215"/>
      <c r="F611" s="215"/>
      <c r="G611" s="215"/>
      <c r="H611" s="215"/>
      <c r="I611" s="215"/>
      <c r="J611" s="398">
        <f>TRUNC(SUM(J609,J597,J553,J498,J444,J356,J328,J216,J191,J177,J165,J148,J141,J129,J115,J53,J34,J492),2)</f>
        <v>0</v>
      </c>
      <c r="N611" s="398">
        <f>L599+L555+L500+L446+L358+L330+L218+L193+L179+L167+L150+L143+L131+L117+L55+L36+L10</f>
        <v>0</v>
      </c>
    </row>
    <row r="612" spans="1:14" x14ac:dyDescent="0.25">
      <c r="A612" s="216"/>
      <c r="B612" s="216"/>
      <c r="C612" s="216"/>
      <c r="D612" s="6" t="s">
        <v>327</v>
      </c>
      <c r="E612" s="216"/>
      <c r="F612" s="216"/>
      <c r="G612" s="216"/>
      <c r="H612" s="216"/>
      <c r="I612" s="216"/>
      <c r="J612" s="216"/>
      <c r="K612" s="398">
        <f>TRUNC(SUM(K609,K597,K553,K498,K444,K356,K328,K216,K191,K177,K165,K148,K141,K129,K115,K53,K34,K492),2)</f>
        <v>0</v>
      </c>
      <c r="L612" s="216"/>
    </row>
    <row r="613" spans="1:14" x14ac:dyDescent="0.25">
      <c r="A613" s="399"/>
      <c r="B613" s="218"/>
      <c r="C613" s="218"/>
      <c r="D613" s="18" t="s">
        <v>325</v>
      </c>
      <c r="E613" s="215"/>
      <c r="F613" s="215"/>
      <c r="G613" s="215"/>
      <c r="H613" s="215"/>
      <c r="I613" s="399"/>
      <c r="J613" s="400"/>
      <c r="K613" s="399"/>
      <c r="L613" s="399"/>
    </row>
    <row r="614" spans="1:14" x14ac:dyDescent="0.25">
      <c r="A614" s="401"/>
      <c r="B614" s="402"/>
      <c r="C614" s="402"/>
      <c r="D614" s="19" t="s">
        <v>387</v>
      </c>
      <c r="E614" s="217"/>
      <c r="F614" s="217"/>
      <c r="G614" s="217"/>
      <c r="H614" s="217"/>
      <c r="I614" s="401"/>
      <c r="J614" s="403"/>
      <c r="K614" s="404">
        <f>TRUNC(SUM(J611,K612),2)</f>
        <v>0</v>
      </c>
      <c r="L614" s="401"/>
    </row>
    <row r="615" spans="1:14" x14ac:dyDescent="0.25">
      <c r="A615" s="399"/>
      <c r="B615" s="218"/>
      <c r="C615" s="218"/>
      <c r="D615" s="405"/>
      <c r="E615" s="215"/>
      <c r="F615" s="215"/>
      <c r="G615" s="215"/>
      <c r="H615" s="215"/>
      <c r="I615" s="399"/>
      <c r="J615" s="400"/>
      <c r="K615" s="399"/>
      <c r="L615" s="399"/>
    </row>
    <row r="616" spans="1:14" x14ac:dyDescent="0.25">
      <c r="A616" s="218"/>
      <c r="B616" s="218"/>
      <c r="C616" s="218"/>
      <c r="D616" s="218"/>
      <c r="E616" s="218"/>
      <c r="F616" s="218"/>
      <c r="G616" s="218"/>
      <c r="H616" s="218"/>
      <c r="I616" s="218"/>
      <c r="J616" s="218"/>
      <c r="K616" s="218"/>
      <c r="L616" s="218"/>
    </row>
    <row r="617" spans="1:14" x14ac:dyDescent="0.25">
      <c r="A617" s="406"/>
      <c r="D617" s="6" t="s">
        <v>329</v>
      </c>
      <c r="E617" s="7" t="s">
        <v>325</v>
      </c>
      <c r="F617" s="8"/>
      <c r="G617" s="9"/>
      <c r="H617" s="9"/>
      <c r="I617" s="8"/>
      <c r="J617" s="9"/>
      <c r="K617" s="10"/>
    </row>
    <row r="618" spans="1:14" x14ac:dyDescent="0.25">
      <c r="D618" s="6" t="s">
        <v>330</v>
      </c>
      <c r="E618" s="7" t="s">
        <v>325</v>
      </c>
      <c r="F618" s="8"/>
      <c r="G618" s="9"/>
      <c r="H618" s="9"/>
      <c r="I618" s="8"/>
      <c r="J618" s="9"/>
      <c r="K618" s="10"/>
    </row>
    <row r="619" spans="1:14" x14ac:dyDescent="0.25">
      <c r="D619" s="11" t="s">
        <v>331</v>
      </c>
      <c r="E619" s="7" t="s">
        <v>325</v>
      </c>
      <c r="F619" s="8">
        <v>0.8</v>
      </c>
      <c r="G619" s="329"/>
      <c r="H619" s="329"/>
      <c r="I619" s="8"/>
      <c r="J619" s="329"/>
      <c r="K619" s="329"/>
    </row>
    <row r="620" spans="1:14" x14ac:dyDescent="0.25">
      <c r="D620" s="11" t="s">
        <v>332</v>
      </c>
      <c r="E620" s="7" t="s">
        <v>325</v>
      </c>
      <c r="F620" s="8">
        <v>1.27</v>
      </c>
      <c r="G620" s="329"/>
      <c r="H620" s="7" t="s">
        <v>333</v>
      </c>
      <c r="I620" s="8"/>
      <c r="J620" s="329"/>
      <c r="K620" s="329"/>
    </row>
    <row r="621" spans="1:14" x14ac:dyDescent="0.25">
      <c r="D621" s="11" t="s">
        <v>334</v>
      </c>
      <c r="E621" s="7" t="s">
        <v>325</v>
      </c>
      <c r="F621" s="8">
        <v>1.23</v>
      </c>
      <c r="G621" s="329"/>
      <c r="H621" s="9" t="s">
        <v>335</v>
      </c>
      <c r="I621" s="8"/>
      <c r="J621" s="329"/>
      <c r="K621" s="329"/>
    </row>
    <row r="622" spans="1:14" x14ac:dyDescent="0.25">
      <c r="D622" s="11" t="s">
        <v>336</v>
      </c>
      <c r="E622" s="7" t="s">
        <v>325</v>
      </c>
      <c r="F622" s="8">
        <v>4</v>
      </c>
      <c r="G622" s="432"/>
      <c r="H622" s="432"/>
      <c r="I622" s="432"/>
      <c r="J622" s="432"/>
      <c r="K622" s="432"/>
    </row>
    <row r="623" spans="1:14" x14ac:dyDescent="0.25">
      <c r="D623" s="11" t="s">
        <v>337</v>
      </c>
      <c r="E623" s="7" t="s">
        <v>325</v>
      </c>
      <c r="F623" s="8">
        <v>7.4</v>
      </c>
      <c r="G623" s="432"/>
      <c r="H623" s="432"/>
      <c r="I623" s="432"/>
      <c r="J623" s="432"/>
      <c r="K623" s="432"/>
    </row>
    <row r="624" spans="1:14" x14ac:dyDescent="0.25">
      <c r="D624" s="11" t="s">
        <v>338</v>
      </c>
      <c r="E624" s="7" t="s">
        <v>325</v>
      </c>
      <c r="F624" s="8">
        <f>SUM(F625:F628)</f>
        <v>8.75</v>
      </c>
      <c r="G624" s="329"/>
      <c r="H624" s="329"/>
      <c r="I624" s="8"/>
      <c r="J624" s="329"/>
      <c r="K624" s="329"/>
    </row>
    <row r="625" spans="1:23" x14ac:dyDescent="0.25">
      <c r="D625" s="12" t="s">
        <v>339</v>
      </c>
      <c r="E625" s="7" t="s">
        <v>325</v>
      </c>
      <c r="F625" s="13">
        <v>3</v>
      </c>
      <c r="G625" s="329"/>
      <c r="H625" s="329"/>
      <c r="I625" s="8"/>
      <c r="J625" s="329"/>
      <c r="K625" s="329"/>
    </row>
    <row r="626" spans="1:23" x14ac:dyDescent="0.25">
      <c r="D626" s="12" t="s">
        <v>340</v>
      </c>
      <c r="E626" s="7" t="s">
        <v>325</v>
      </c>
      <c r="F626" s="13">
        <v>0.65</v>
      </c>
      <c r="G626" s="329"/>
      <c r="H626" s="329"/>
      <c r="I626" s="8"/>
      <c r="J626" s="329"/>
      <c r="K626" s="329"/>
    </row>
    <row r="627" spans="1:23" x14ac:dyDescent="0.25">
      <c r="D627" s="12" t="s">
        <v>341</v>
      </c>
      <c r="E627" s="7" t="s">
        <v>325</v>
      </c>
      <c r="F627" s="13">
        <v>3.6</v>
      </c>
      <c r="G627" s="329"/>
      <c r="H627" s="329"/>
      <c r="I627" s="8"/>
      <c r="J627" s="329"/>
      <c r="K627" s="329"/>
    </row>
    <row r="628" spans="1:23" x14ac:dyDescent="0.25">
      <c r="D628" s="12" t="s">
        <v>346</v>
      </c>
      <c r="E628" s="7" t="s">
        <v>325</v>
      </c>
      <c r="F628" s="13">
        <v>1.5</v>
      </c>
      <c r="G628" s="329"/>
      <c r="H628" s="329"/>
      <c r="I628" s="8"/>
      <c r="J628" s="329"/>
      <c r="K628" s="329"/>
      <c r="N628" s="433" t="s">
        <v>347</v>
      </c>
      <c r="O628" s="433"/>
      <c r="P628" s="433"/>
      <c r="Q628" s="433"/>
      <c r="R628" s="433"/>
      <c r="S628" s="433"/>
      <c r="T628" s="433"/>
      <c r="U628" s="433"/>
      <c r="V628" s="433"/>
      <c r="W628" s="433"/>
    </row>
    <row r="629" spans="1:23" x14ac:dyDescent="0.25">
      <c r="D629" s="11" t="s">
        <v>325</v>
      </c>
      <c r="E629" s="7" t="s">
        <v>325</v>
      </c>
      <c r="F629" s="8"/>
      <c r="G629" s="329"/>
      <c r="H629" s="329"/>
      <c r="I629" s="8"/>
      <c r="J629" s="329"/>
      <c r="K629" s="329"/>
    </row>
    <row r="630" spans="1:23" x14ac:dyDescent="0.25">
      <c r="D630" s="6" t="s">
        <v>342</v>
      </c>
      <c r="E630" s="14" t="s">
        <v>325</v>
      </c>
      <c r="F630" s="15">
        <f>TRUNC(((((1+(F622+F619+F620)/100)*((1+F621/100))*((1+F623/100)))/((1-F624/100)))-1)*100,8)</f>
        <v>26.378505109999999</v>
      </c>
      <c r="G630" s="329"/>
      <c r="H630" s="329"/>
      <c r="I630" s="8"/>
      <c r="J630" s="9"/>
      <c r="K630" s="10"/>
    </row>
    <row r="631" spans="1:23" x14ac:dyDescent="0.25">
      <c r="D631" s="6" t="s">
        <v>325</v>
      </c>
      <c r="E631" s="7" t="s">
        <v>325</v>
      </c>
      <c r="F631" s="8"/>
      <c r="G631" s="9"/>
      <c r="H631" s="9"/>
      <c r="I631" s="8"/>
      <c r="J631" s="9"/>
      <c r="K631" s="10"/>
    </row>
    <row r="632" spans="1:23" x14ac:dyDescent="0.25">
      <c r="D632" s="6" t="s">
        <v>343</v>
      </c>
      <c r="E632" s="7" t="s">
        <v>325</v>
      </c>
      <c r="F632" s="8"/>
      <c r="G632" s="9"/>
      <c r="H632" s="9"/>
      <c r="I632" s="8"/>
      <c r="J632" s="16">
        <f>TRUNC((J611*F630/100),2)</f>
        <v>0</v>
      </c>
      <c r="K632" s="17"/>
      <c r="N632" s="408"/>
    </row>
    <row r="633" spans="1:23" x14ac:dyDescent="0.25">
      <c r="D633" s="6" t="s">
        <v>344</v>
      </c>
      <c r="E633" s="7" t="s">
        <v>325</v>
      </c>
      <c r="F633" s="8"/>
      <c r="G633" s="9"/>
      <c r="H633" s="9"/>
      <c r="I633" s="8"/>
      <c r="J633" s="17"/>
      <c r="K633" s="16">
        <f>TRUNC(K612*F630/100,2)</f>
        <v>0</v>
      </c>
    </row>
    <row r="634" spans="1:23" x14ac:dyDescent="0.25">
      <c r="D634" s="18" t="s">
        <v>325</v>
      </c>
      <c r="E634" s="7" t="s">
        <v>325</v>
      </c>
      <c r="F634" s="8"/>
      <c r="G634" s="9"/>
      <c r="H634" s="9"/>
      <c r="I634" s="8"/>
      <c r="J634" s="9"/>
      <c r="K634" s="10"/>
    </row>
    <row r="635" spans="1:23" x14ac:dyDescent="0.25">
      <c r="A635" s="409"/>
      <c r="B635" s="410"/>
      <c r="C635" s="410"/>
      <c r="D635" s="19" t="s">
        <v>345</v>
      </c>
      <c r="E635" s="20" t="s">
        <v>325</v>
      </c>
      <c r="F635" s="21"/>
      <c r="G635" s="22"/>
      <c r="H635" s="22"/>
      <c r="I635" s="21"/>
      <c r="J635" s="22"/>
      <c r="K635" s="23">
        <f>TRUNC(SUM(J632,K633),2)</f>
        <v>0</v>
      </c>
      <c r="L635" s="409"/>
    </row>
    <row r="638" spans="1:23" x14ac:dyDescent="0.25">
      <c r="A638" s="206">
        <v>19</v>
      </c>
      <c r="B638" s="335"/>
      <c r="C638" s="335"/>
      <c r="D638" s="206" t="s">
        <v>323</v>
      </c>
      <c r="E638" s="206"/>
      <c r="F638" s="377"/>
      <c r="G638" s="210"/>
      <c r="H638" s="210"/>
      <c r="I638" s="210"/>
      <c r="J638" s="210"/>
      <c r="K638" s="210"/>
      <c r="L638" s="337">
        <f>L639+L643+L646+L651+L658+L656</f>
        <v>0</v>
      </c>
    </row>
    <row r="639" spans="1:23" s="341" customFormat="1" x14ac:dyDescent="0.25">
      <c r="A639" s="389" t="s">
        <v>820</v>
      </c>
      <c r="B639" s="389"/>
      <c r="C639" s="389"/>
      <c r="D639" s="389" t="s">
        <v>838</v>
      </c>
      <c r="E639" s="389" t="s">
        <v>325</v>
      </c>
      <c r="F639" s="390"/>
      <c r="G639" s="213"/>
      <c r="H639" s="213"/>
      <c r="I639" s="213"/>
      <c r="J639" s="213"/>
      <c r="K639" s="213"/>
      <c r="L639" s="391">
        <f>SUM(L640:L642)</f>
        <v>0</v>
      </c>
    </row>
    <row r="640" spans="1:23" s="413" customFormat="1" ht="39.6" x14ac:dyDescent="0.25">
      <c r="A640" s="342" t="s">
        <v>821</v>
      </c>
      <c r="B640" s="411"/>
      <c r="C640" s="411"/>
      <c r="D640" s="412" t="s">
        <v>488</v>
      </c>
      <c r="E640" s="411" t="s">
        <v>217</v>
      </c>
      <c r="F640" s="346">
        <v>2</v>
      </c>
      <c r="G640" s="327"/>
      <c r="H640" s="327"/>
      <c r="I640" s="327">
        <f t="shared" ref="I640" si="340">TRUNC(SUM(G640:H640),2)</f>
        <v>0</v>
      </c>
      <c r="J640" s="327">
        <f t="shared" ref="J640:J645" si="341">TRUNC(F640*G640,2)</f>
        <v>0</v>
      </c>
      <c r="K640" s="327">
        <f t="shared" ref="K640:K645" si="342">TRUNC(F640*H640,2)</f>
        <v>0</v>
      </c>
      <c r="L640" s="327">
        <f t="shared" ref="L640:L645" si="343">TRUNC(SUM(J640,K640),2)</f>
        <v>0</v>
      </c>
    </row>
    <row r="641" spans="1:12" s="413" customFormat="1" ht="26.4" x14ac:dyDescent="0.25">
      <c r="A641" s="342" t="s">
        <v>822</v>
      </c>
      <c r="B641" s="411"/>
      <c r="C641" s="411"/>
      <c r="D641" s="412" t="s">
        <v>409</v>
      </c>
      <c r="E641" s="411" t="s">
        <v>217</v>
      </c>
      <c r="F641" s="346">
        <v>5</v>
      </c>
      <c r="G641" s="327"/>
      <c r="H641" s="327"/>
      <c r="I641" s="327">
        <f t="shared" ref="I641:I645" si="344">TRUNC(SUM(G641:H641),2)</f>
        <v>0</v>
      </c>
      <c r="J641" s="327">
        <f t="shared" si="341"/>
        <v>0</v>
      </c>
      <c r="K641" s="327">
        <f t="shared" si="342"/>
        <v>0</v>
      </c>
      <c r="L641" s="327">
        <f t="shared" si="343"/>
        <v>0</v>
      </c>
    </row>
    <row r="642" spans="1:12" s="413" customFormat="1" ht="39.6" x14ac:dyDescent="0.25">
      <c r="A642" s="342" t="s">
        <v>823</v>
      </c>
      <c r="B642" s="411"/>
      <c r="C642" s="411"/>
      <c r="D642" s="412" t="s">
        <v>489</v>
      </c>
      <c r="E642" s="411" t="s">
        <v>217</v>
      </c>
      <c r="F642" s="346">
        <v>2</v>
      </c>
      <c r="G642" s="327"/>
      <c r="H642" s="327"/>
      <c r="I642" s="327">
        <f t="shared" si="344"/>
        <v>0</v>
      </c>
      <c r="J642" s="327">
        <f t="shared" si="341"/>
        <v>0</v>
      </c>
      <c r="K642" s="327">
        <f t="shared" si="342"/>
        <v>0</v>
      </c>
      <c r="L642" s="327">
        <f t="shared" si="343"/>
        <v>0</v>
      </c>
    </row>
    <row r="643" spans="1:12" s="341" customFormat="1" x14ac:dyDescent="0.25">
      <c r="A643" s="389" t="s">
        <v>824</v>
      </c>
      <c r="B643" s="389"/>
      <c r="C643" s="389"/>
      <c r="D643" s="389" t="s">
        <v>634</v>
      </c>
      <c r="E643" s="389" t="s">
        <v>325</v>
      </c>
      <c r="F643" s="390"/>
      <c r="G643" s="213"/>
      <c r="H643" s="213"/>
      <c r="I643" s="213"/>
      <c r="J643" s="213"/>
      <c r="K643" s="213"/>
      <c r="L643" s="391">
        <f>SUM(L644:L645)</f>
        <v>0</v>
      </c>
    </row>
    <row r="644" spans="1:12" s="413" customFormat="1" ht="74.25" customHeight="1" x14ac:dyDescent="0.25">
      <c r="A644" s="342" t="s">
        <v>572</v>
      </c>
      <c r="B644" s="411"/>
      <c r="C644" s="411"/>
      <c r="D644" s="412" t="s">
        <v>640</v>
      </c>
      <c r="E644" s="411" t="s">
        <v>217</v>
      </c>
      <c r="F644" s="346">
        <v>1</v>
      </c>
      <c r="G644" s="327"/>
      <c r="H644" s="327"/>
      <c r="I644" s="327">
        <f t="shared" si="344"/>
        <v>0</v>
      </c>
      <c r="J644" s="327">
        <f t="shared" si="341"/>
        <v>0</v>
      </c>
      <c r="K644" s="327">
        <f t="shared" si="342"/>
        <v>0</v>
      </c>
      <c r="L644" s="327">
        <f t="shared" si="343"/>
        <v>0</v>
      </c>
    </row>
    <row r="645" spans="1:12" s="413" customFormat="1" ht="74.25" customHeight="1" x14ac:dyDescent="0.25">
      <c r="A645" s="342" t="s">
        <v>825</v>
      </c>
      <c r="B645" s="411"/>
      <c r="C645" s="411"/>
      <c r="D645" s="412" t="s">
        <v>641</v>
      </c>
      <c r="E645" s="411" t="s">
        <v>217</v>
      </c>
      <c r="F645" s="346">
        <v>1</v>
      </c>
      <c r="G645" s="327"/>
      <c r="H645" s="327"/>
      <c r="I645" s="327">
        <f t="shared" si="344"/>
        <v>0</v>
      </c>
      <c r="J645" s="327">
        <f t="shared" si="341"/>
        <v>0</v>
      </c>
      <c r="K645" s="327">
        <f t="shared" si="342"/>
        <v>0</v>
      </c>
      <c r="L645" s="327">
        <f t="shared" si="343"/>
        <v>0</v>
      </c>
    </row>
    <row r="646" spans="1:12" s="341" customFormat="1" x14ac:dyDescent="0.25">
      <c r="A646" s="389" t="s">
        <v>826</v>
      </c>
      <c r="B646" s="389"/>
      <c r="C646" s="389"/>
      <c r="D646" s="389" t="s">
        <v>633</v>
      </c>
      <c r="E646" s="389" t="s">
        <v>325</v>
      </c>
      <c r="F646" s="390"/>
      <c r="G646" s="213"/>
      <c r="H646" s="213"/>
      <c r="I646" s="213"/>
      <c r="J646" s="213"/>
      <c r="K646" s="213"/>
      <c r="L646" s="391">
        <f>SUM(L647:L650)</f>
        <v>0</v>
      </c>
    </row>
    <row r="647" spans="1:12" s="413" customFormat="1" ht="26.4" x14ac:dyDescent="0.25">
      <c r="A647" s="362" t="s">
        <v>827</v>
      </c>
      <c r="B647" s="411"/>
      <c r="C647" s="411"/>
      <c r="D647" s="412" t="s">
        <v>627</v>
      </c>
      <c r="E647" s="411" t="s">
        <v>217</v>
      </c>
      <c r="F647" s="378">
        <v>1</v>
      </c>
      <c r="G647" s="328"/>
      <c r="H647" s="327"/>
      <c r="I647" s="327">
        <f t="shared" ref="I647" si="345">TRUNC(SUM(G647:H647),2)</f>
        <v>0</v>
      </c>
      <c r="J647" s="327">
        <f t="shared" ref="J647" si="346">TRUNC(F647*G647,2)</f>
        <v>0</v>
      </c>
      <c r="K647" s="327">
        <f t="shared" ref="K647" si="347">TRUNC(F647*H647,2)</f>
        <v>0</v>
      </c>
      <c r="L647" s="327">
        <f t="shared" ref="L647" si="348">TRUNC(SUM(J647,K647),2)</f>
        <v>0</v>
      </c>
    </row>
    <row r="648" spans="1:12" s="413" customFormat="1" ht="39.6" x14ac:dyDescent="0.25">
      <c r="A648" s="362" t="s">
        <v>828</v>
      </c>
      <c r="B648" s="411"/>
      <c r="C648" s="411"/>
      <c r="D648" s="412" t="s">
        <v>628</v>
      </c>
      <c r="E648" s="411" t="s">
        <v>217</v>
      </c>
      <c r="F648" s="378">
        <v>1</v>
      </c>
      <c r="G648" s="328"/>
      <c r="H648" s="327"/>
      <c r="I648" s="327">
        <f t="shared" ref="I648:I650" si="349">TRUNC(SUM(G648:H648),2)</f>
        <v>0</v>
      </c>
      <c r="J648" s="327">
        <f t="shared" ref="J648:J650" si="350">TRUNC(F648*G648,2)</f>
        <v>0</v>
      </c>
      <c r="K648" s="327">
        <f t="shared" ref="K648:K650" si="351">TRUNC(F648*H648,2)</f>
        <v>0</v>
      </c>
      <c r="L648" s="327">
        <f t="shared" ref="L648:L650" si="352">TRUNC(SUM(J648,K648),2)</f>
        <v>0</v>
      </c>
    </row>
    <row r="649" spans="1:12" s="413" customFormat="1" ht="75.75" customHeight="1" x14ac:dyDescent="0.25">
      <c r="A649" s="362" t="s">
        <v>829</v>
      </c>
      <c r="B649" s="411"/>
      <c r="C649" s="411"/>
      <c r="D649" s="412" t="s">
        <v>629</v>
      </c>
      <c r="E649" s="411" t="s">
        <v>217</v>
      </c>
      <c r="F649" s="378">
        <v>1</v>
      </c>
      <c r="G649" s="328"/>
      <c r="H649" s="327"/>
      <c r="I649" s="327">
        <f t="shared" si="349"/>
        <v>0</v>
      </c>
      <c r="J649" s="327">
        <f t="shared" si="350"/>
        <v>0</v>
      </c>
      <c r="K649" s="327">
        <f t="shared" si="351"/>
        <v>0</v>
      </c>
      <c r="L649" s="327">
        <f t="shared" si="352"/>
        <v>0</v>
      </c>
    </row>
    <row r="650" spans="1:12" s="413" customFormat="1" ht="77.25" customHeight="1" x14ac:dyDescent="0.25">
      <c r="A650" s="362" t="s">
        <v>830</v>
      </c>
      <c r="B650" s="411"/>
      <c r="C650" s="411"/>
      <c r="D650" s="412" t="s">
        <v>630</v>
      </c>
      <c r="E650" s="411" t="s">
        <v>217</v>
      </c>
      <c r="F650" s="378">
        <v>1</v>
      </c>
      <c r="G650" s="328"/>
      <c r="H650" s="327"/>
      <c r="I650" s="327">
        <f t="shared" si="349"/>
        <v>0</v>
      </c>
      <c r="J650" s="327">
        <f t="shared" si="350"/>
        <v>0</v>
      </c>
      <c r="K650" s="327">
        <f t="shared" si="351"/>
        <v>0</v>
      </c>
      <c r="L650" s="327">
        <f t="shared" si="352"/>
        <v>0</v>
      </c>
    </row>
    <row r="651" spans="1:12" s="341" customFormat="1" x14ac:dyDescent="0.25">
      <c r="A651" s="389" t="s">
        <v>831</v>
      </c>
      <c r="B651" s="389"/>
      <c r="C651" s="389"/>
      <c r="D651" s="389" t="s">
        <v>635</v>
      </c>
      <c r="E651" s="389" t="s">
        <v>325</v>
      </c>
      <c r="F651" s="390"/>
      <c r="G651" s="213"/>
      <c r="H651" s="213"/>
      <c r="I651" s="213"/>
      <c r="J651" s="213"/>
      <c r="K651" s="213"/>
      <c r="L651" s="391">
        <f>SUM(L652:L655)</f>
        <v>0</v>
      </c>
    </row>
    <row r="652" spans="1:12" s="413" customFormat="1" ht="65.25" customHeight="1" x14ac:dyDescent="0.25">
      <c r="A652" s="362" t="s">
        <v>832</v>
      </c>
      <c r="B652" s="411"/>
      <c r="C652" s="411"/>
      <c r="D652" s="412" t="s">
        <v>636</v>
      </c>
      <c r="E652" s="411" t="s">
        <v>217</v>
      </c>
      <c r="F652" s="378">
        <v>1</v>
      </c>
      <c r="G652" s="328"/>
      <c r="H652" s="327"/>
      <c r="I652" s="327">
        <f t="shared" ref="I652:I655" si="353">TRUNC(SUM(G652:H652),2)</f>
        <v>0</v>
      </c>
      <c r="J652" s="327">
        <f t="shared" ref="J652:J655" si="354">TRUNC(F652*G652,2)</f>
        <v>0</v>
      </c>
      <c r="K652" s="327">
        <f t="shared" ref="K652:K655" si="355">TRUNC(F652*H652,2)</f>
        <v>0</v>
      </c>
      <c r="L652" s="327">
        <f t="shared" ref="L652:L655" si="356">TRUNC(SUM(J652,K652),2)</f>
        <v>0</v>
      </c>
    </row>
    <row r="653" spans="1:12" s="413" customFormat="1" ht="75.75" customHeight="1" x14ac:dyDescent="0.25">
      <c r="A653" s="362" t="s">
        <v>833</v>
      </c>
      <c r="B653" s="411"/>
      <c r="C653" s="411"/>
      <c r="D653" s="412" t="s">
        <v>638</v>
      </c>
      <c r="E653" s="411" t="s">
        <v>217</v>
      </c>
      <c r="F653" s="378">
        <v>1</v>
      </c>
      <c r="G653" s="328"/>
      <c r="H653" s="327"/>
      <c r="I653" s="327">
        <f t="shared" si="353"/>
        <v>0</v>
      </c>
      <c r="J653" s="327">
        <f t="shared" si="354"/>
        <v>0</v>
      </c>
      <c r="K653" s="327">
        <f t="shared" si="355"/>
        <v>0</v>
      </c>
      <c r="L653" s="327">
        <f t="shared" si="356"/>
        <v>0</v>
      </c>
    </row>
    <row r="654" spans="1:12" s="413" customFormat="1" ht="79.2" x14ac:dyDescent="0.25">
      <c r="A654" s="362" t="s">
        <v>834</v>
      </c>
      <c r="B654" s="411"/>
      <c r="C654" s="411"/>
      <c r="D654" s="412" t="s">
        <v>639</v>
      </c>
      <c r="E654" s="411" t="s">
        <v>217</v>
      </c>
      <c r="F654" s="378">
        <v>1</v>
      </c>
      <c r="G654" s="328"/>
      <c r="H654" s="327"/>
      <c r="I654" s="327">
        <f t="shared" si="353"/>
        <v>0</v>
      </c>
      <c r="J654" s="327">
        <f t="shared" si="354"/>
        <v>0</v>
      </c>
      <c r="K654" s="327">
        <f t="shared" si="355"/>
        <v>0</v>
      </c>
      <c r="L654" s="327">
        <f t="shared" si="356"/>
        <v>0</v>
      </c>
    </row>
    <row r="655" spans="1:12" s="413" customFormat="1" ht="126" customHeight="1" x14ac:dyDescent="0.25">
      <c r="A655" s="362" t="s">
        <v>835</v>
      </c>
      <c r="B655" s="411"/>
      <c r="C655" s="411"/>
      <c r="D655" s="412" t="s">
        <v>637</v>
      </c>
      <c r="E655" s="411" t="s">
        <v>217</v>
      </c>
      <c r="F655" s="378">
        <v>2</v>
      </c>
      <c r="G655" s="328"/>
      <c r="H655" s="327"/>
      <c r="I655" s="327">
        <f t="shared" si="353"/>
        <v>0</v>
      </c>
      <c r="J655" s="327">
        <f t="shared" si="354"/>
        <v>0</v>
      </c>
      <c r="K655" s="327">
        <f t="shared" si="355"/>
        <v>0</v>
      </c>
      <c r="L655" s="327">
        <f t="shared" si="356"/>
        <v>0</v>
      </c>
    </row>
    <row r="656" spans="1:12" s="341" customFormat="1" x14ac:dyDescent="0.25">
      <c r="A656" s="389" t="s">
        <v>839</v>
      </c>
      <c r="B656" s="389"/>
      <c r="C656" s="389"/>
      <c r="D656" s="389" t="s">
        <v>1216</v>
      </c>
      <c r="E656" s="389" t="s">
        <v>325</v>
      </c>
      <c r="F656" s="390"/>
      <c r="G656" s="213"/>
      <c r="H656" s="213"/>
      <c r="I656" s="213"/>
      <c r="J656" s="213"/>
      <c r="K656" s="213"/>
      <c r="L656" s="391">
        <f>SUM(L657)</f>
        <v>0</v>
      </c>
    </row>
    <row r="657" spans="1:12" s="413" customFormat="1" ht="26.4" x14ac:dyDescent="0.25">
      <c r="A657" s="362" t="s">
        <v>841</v>
      </c>
      <c r="B657" s="411"/>
      <c r="C657" s="411"/>
      <c r="D657" s="412" t="s">
        <v>1100</v>
      </c>
      <c r="E657" s="411" t="s">
        <v>217</v>
      </c>
      <c r="F657" s="378">
        <v>2</v>
      </c>
      <c r="G657" s="328"/>
      <c r="H657" s="327"/>
      <c r="I657" s="327">
        <f t="shared" ref="I657" si="357">TRUNC(SUM(G657:H657),2)</f>
        <v>0</v>
      </c>
      <c r="J657" s="327">
        <f t="shared" ref="J657" si="358">TRUNC(F657*G657,2)</f>
        <v>0</v>
      </c>
      <c r="K657" s="327">
        <f t="shared" ref="K657" si="359">TRUNC(F657*H657,2)</f>
        <v>0</v>
      </c>
      <c r="L657" s="327">
        <f t="shared" ref="L657" si="360">TRUNC(SUM(J657,K657),2)</f>
        <v>0</v>
      </c>
    </row>
    <row r="658" spans="1:12" s="341" customFormat="1" x14ac:dyDescent="0.25">
      <c r="A658" s="389" t="s">
        <v>1217</v>
      </c>
      <c r="B658" s="389"/>
      <c r="C658" s="389"/>
      <c r="D658" s="389" t="s">
        <v>840</v>
      </c>
      <c r="E658" s="389" t="s">
        <v>325</v>
      </c>
      <c r="F658" s="390"/>
      <c r="G658" s="213"/>
      <c r="H658" s="213"/>
      <c r="I658" s="213"/>
      <c r="J658" s="213"/>
      <c r="K658" s="213"/>
      <c r="L658" s="391">
        <f>SUM(L659)</f>
        <v>0</v>
      </c>
    </row>
    <row r="659" spans="1:12" s="413" customFormat="1" ht="26.4" x14ac:dyDescent="0.25">
      <c r="A659" s="362" t="s">
        <v>1218</v>
      </c>
      <c r="B659" s="411"/>
      <c r="C659" s="411"/>
      <c r="D659" s="412" t="s">
        <v>842</v>
      </c>
      <c r="E659" s="411" t="s">
        <v>217</v>
      </c>
      <c r="F659" s="378">
        <v>1</v>
      </c>
      <c r="G659" s="328"/>
      <c r="H659" s="327"/>
      <c r="I659" s="327">
        <f t="shared" ref="I659" si="361">TRUNC(SUM(G659:H659),2)</f>
        <v>0</v>
      </c>
      <c r="J659" s="327">
        <f t="shared" ref="J659" si="362">TRUNC(F659*G659,2)</f>
        <v>0</v>
      </c>
      <c r="K659" s="327">
        <f t="shared" ref="K659" si="363">TRUNC(F659*H659,2)</f>
        <v>0</v>
      </c>
      <c r="L659" s="327">
        <f t="shared" ref="L659" si="364">TRUNC(SUM(J659,K659),2)</f>
        <v>0</v>
      </c>
    </row>
    <row r="660" spans="1:12" x14ac:dyDescent="0.25">
      <c r="A660" s="364"/>
      <c r="B660" s="365"/>
      <c r="C660" s="366"/>
      <c r="D660" s="367" t="s">
        <v>324</v>
      </c>
      <c r="E660" s="368" t="s">
        <v>325</v>
      </c>
      <c r="F660" s="369"/>
      <c r="G660" s="370"/>
      <c r="H660" s="370"/>
      <c r="I660" s="370"/>
      <c r="J660" s="371">
        <f>SUM(J640:J659)</f>
        <v>0</v>
      </c>
      <c r="K660" s="371">
        <f>SUM(K640:K659)</f>
        <v>0</v>
      </c>
      <c r="L660" s="370"/>
    </row>
    <row r="661" spans="1:12" x14ac:dyDescent="0.25">
      <c r="A661" s="372"/>
      <c r="B661" s="373"/>
      <c r="C661" s="373"/>
      <c r="D661" s="395" t="s">
        <v>325</v>
      </c>
      <c r="E661" s="396" t="s">
        <v>325</v>
      </c>
      <c r="F661" s="397"/>
      <c r="G661" s="375"/>
      <c r="H661" s="375"/>
      <c r="I661" s="375"/>
      <c r="J661" s="376"/>
      <c r="K661" s="376">
        <f>SUM(J660:K660)</f>
        <v>0</v>
      </c>
      <c r="L661" s="375"/>
    </row>
    <row r="664" spans="1:12" x14ac:dyDescent="0.25">
      <c r="A664" s="200"/>
      <c r="B664" s="200"/>
      <c r="C664" s="200"/>
      <c r="D664" s="6" t="s">
        <v>326</v>
      </c>
      <c r="E664" s="7" t="s">
        <v>325</v>
      </c>
      <c r="F664" s="8"/>
      <c r="G664" s="329"/>
      <c r="H664" s="329"/>
      <c r="I664" s="329"/>
      <c r="J664" s="16">
        <f>TRUNC(SUM(J660),2)</f>
        <v>0</v>
      </c>
      <c r="K664" s="201"/>
    </row>
    <row r="665" spans="1:12" x14ac:dyDescent="0.25">
      <c r="A665" s="200"/>
      <c r="B665" s="200"/>
      <c r="C665" s="200"/>
      <c r="D665" s="6" t="s">
        <v>327</v>
      </c>
      <c r="E665" s="7" t="s">
        <v>325</v>
      </c>
      <c r="F665" s="8"/>
      <c r="G665" s="329"/>
      <c r="H665" s="329"/>
      <c r="I665" s="329"/>
      <c r="J665" s="201"/>
      <c r="K665" s="16">
        <f>TRUNC(SUM(K660),2)</f>
        <v>0</v>
      </c>
    </row>
    <row r="666" spans="1:12" x14ac:dyDescent="0.25">
      <c r="A666" s="200"/>
      <c r="B666" s="200"/>
      <c r="C666" s="200"/>
      <c r="D666" s="18" t="s">
        <v>325</v>
      </c>
      <c r="E666" s="7" t="s">
        <v>325</v>
      </c>
      <c r="F666" s="8"/>
      <c r="G666" s="329"/>
      <c r="H666" s="329"/>
      <c r="I666" s="329"/>
      <c r="J666" s="329"/>
      <c r="K666" s="201"/>
    </row>
    <row r="667" spans="1:12" x14ac:dyDescent="0.25">
      <c r="A667" s="202"/>
      <c r="B667" s="202"/>
      <c r="C667" s="202"/>
      <c r="D667" s="25" t="s">
        <v>570</v>
      </c>
      <c r="E667" s="26" t="s">
        <v>325</v>
      </c>
      <c r="F667" s="27"/>
      <c r="G667" s="203"/>
      <c r="H667" s="203"/>
      <c r="I667" s="203"/>
      <c r="J667" s="203"/>
      <c r="K667" s="28">
        <f>TRUNC(SUM(J664,K665),2)</f>
        <v>0</v>
      </c>
    </row>
    <row r="670" spans="1:12" x14ac:dyDescent="0.25">
      <c r="D670" s="6" t="s">
        <v>348</v>
      </c>
      <c r="E670" s="7" t="s">
        <v>325</v>
      </c>
      <c r="F670" s="24"/>
      <c r="G670" s="9"/>
      <c r="H670" s="9"/>
      <c r="I670" s="8"/>
      <c r="J670" s="9"/>
      <c r="K670" s="10"/>
    </row>
    <row r="671" spans="1:12" x14ac:dyDescent="0.25">
      <c r="D671" s="6" t="s">
        <v>330</v>
      </c>
      <c r="E671" s="7" t="s">
        <v>325</v>
      </c>
      <c r="F671" s="8"/>
      <c r="G671" s="9"/>
      <c r="H671" s="9"/>
      <c r="I671" s="8"/>
      <c r="J671" s="9"/>
      <c r="K671" s="10"/>
    </row>
    <row r="672" spans="1:12" x14ac:dyDescent="0.25">
      <c r="D672" s="11" t="s">
        <v>331</v>
      </c>
      <c r="E672" s="7" t="s">
        <v>325</v>
      </c>
      <c r="F672" s="8">
        <v>0.48</v>
      </c>
      <c r="G672" s="329"/>
      <c r="H672" s="329"/>
      <c r="I672" s="8"/>
      <c r="J672" s="329"/>
      <c r="K672" s="329"/>
    </row>
    <row r="673" spans="4:23" x14ac:dyDescent="0.25">
      <c r="D673" s="11" t="s">
        <v>332</v>
      </c>
      <c r="E673" s="7" t="s">
        <v>325</v>
      </c>
      <c r="F673" s="8">
        <v>0.85</v>
      </c>
      <c r="G673" s="329"/>
      <c r="H673" s="7" t="s">
        <v>333</v>
      </c>
      <c r="I673" s="8"/>
      <c r="J673" s="329"/>
      <c r="K673" s="329"/>
    </row>
    <row r="674" spans="4:23" x14ac:dyDescent="0.25">
      <c r="D674" s="11" t="s">
        <v>334</v>
      </c>
      <c r="E674" s="7" t="s">
        <v>325</v>
      </c>
      <c r="F674" s="8">
        <v>1.23</v>
      </c>
      <c r="G674" s="329"/>
      <c r="H674" s="9" t="s">
        <v>335</v>
      </c>
      <c r="I674" s="8"/>
      <c r="J674" s="329"/>
      <c r="K674" s="329"/>
    </row>
    <row r="675" spans="4:23" x14ac:dyDescent="0.25">
      <c r="D675" s="11" t="s">
        <v>336</v>
      </c>
      <c r="E675" s="7" t="s">
        <v>325</v>
      </c>
      <c r="F675" s="8">
        <v>3.45</v>
      </c>
      <c r="G675" s="432"/>
      <c r="H675" s="432"/>
      <c r="I675" s="432"/>
      <c r="J675" s="432"/>
      <c r="K675" s="432"/>
    </row>
    <row r="676" spans="4:23" x14ac:dyDescent="0.25">
      <c r="D676" s="11" t="s">
        <v>337</v>
      </c>
      <c r="E676" s="7" t="s">
        <v>325</v>
      </c>
      <c r="F676" s="8">
        <v>5.1100000000000003</v>
      </c>
      <c r="G676" s="432"/>
      <c r="H676" s="432"/>
      <c r="I676" s="432"/>
      <c r="J676" s="432"/>
      <c r="K676" s="432"/>
    </row>
    <row r="677" spans="4:23" x14ac:dyDescent="0.25">
      <c r="D677" s="11" t="s">
        <v>338</v>
      </c>
      <c r="E677" s="7" t="s">
        <v>325</v>
      </c>
      <c r="F677" s="8">
        <f>SUM(F678:F681)</f>
        <v>7.25</v>
      </c>
      <c r="G677" s="329"/>
      <c r="H677" s="329"/>
      <c r="I677" s="8"/>
      <c r="J677" s="329"/>
      <c r="K677" s="329"/>
    </row>
    <row r="678" spans="4:23" x14ac:dyDescent="0.25">
      <c r="D678" s="12" t="s">
        <v>339</v>
      </c>
      <c r="E678" s="7" t="s">
        <v>325</v>
      </c>
      <c r="F678" s="13">
        <v>3</v>
      </c>
      <c r="G678" s="329"/>
      <c r="H678" s="329"/>
      <c r="I678" s="8"/>
      <c r="J678" s="329"/>
      <c r="K678" s="329"/>
    </row>
    <row r="679" spans="4:23" x14ac:dyDescent="0.25">
      <c r="D679" s="12" t="s">
        <v>340</v>
      </c>
      <c r="E679" s="7" t="s">
        <v>325</v>
      </c>
      <c r="F679" s="13">
        <v>0.65</v>
      </c>
      <c r="G679" s="329"/>
      <c r="H679" s="329"/>
      <c r="I679" s="8"/>
      <c r="J679" s="329"/>
      <c r="K679" s="329"/>
    </row>
    <row r="680" spans="4:23" x14ac:dyDescent="0.25">
      <c r="D680" s="12" t="s">
        <v>341</v>
      </c>
      <c r="E680" s="7" t="s">
        <v>325</v>
      </c>
      <c r="F680" s="13">
        <v>3.6</v>
      </c>
      <c r="G680" s="329"/>
      <c r="H680" s="329"/>
      <c r="I680" s="8"/>
      <c r="J680" s="329"/>
      <c r="K680" s="329"/>
    </row>
    <row r="681" spans="4:23" x14ac:dyDescent="0.25">
      <c r="D681" s="12" t="s">
        <v>346</v>
      </c>
      <c r="E681" s="7" t="s">
        <v>325</v>
      </c>
      <c r="F681" s="13">
        <v>0</v>
      </c>
      <c r="G681" s="329"/>
      <c r="H681" s="329"/>
      <c r="I681" s="8"/>
      <c r="J681" s="329"/>
      <c r="K681" s="329"/>
      <c r="N681" s="433" t="s">
        <v>347</v>
      </c>
      <c r="O681" s="433"/>
      <c r="P681" s="433"/>
      <c r="Q681" s="433"/>
      <c r="R681" s="433"/>
      <c r="S681" s="433"/>
      <c r="T681" s="433"/>
      <c r="U681" s="433"/>
      <c r="V681" s="433"/>
      <c r="W681" s="433"/>
    </row>
    <row r="682" spans="4:23" x14ac:dyDescent="0.25">
      <c r="D682" s="11" t="s">
        <v>325</v>
      </c>
      <c r="E682" s="7" t="s">
        <v>325</v>
      </c>
      <c r="F682" s="8"/>
      <c r="G682" s="329"/>
      <c r="H682" s="329"/>
      <c r="I682" s="8"/>
      <c r="J682" s="329"/>
      <c r="K682" s="329"/>
    </row>
    <row r="683" spans="4:23" x14ac:dyDescent="0.25">
      <c r="D683" s="6" t="s">
        <v>342</v>
      </c>
      <c r="E683" s="14" t="s">
        <v>325</v>
      </c>
      <c r="F683" s="15">
        <f>TRUNC(((((1+(F675+F672+F673)/100)*((1+F674/100))*((1+F676/100)))/((1-F677/100)))-1)*100,3)</f>
        <v>20.202999999999999</v>
      </c>
      <c r="G683" s="329"/>
      <c r="H683" s="329"/>
      <c r="I683" s="8"/>
      <c r="J683" s="9"/>
      <c r="K683" s="10"/>
    </row>
    <row r="684" spans="4:23" x14ac:dyDescent="0.25">
      <c r="D684" s="18" t="s">
        <v>325</v>
      </c>
      <c r="E684" s="7" t="s">
        <v>325</v>
      </c>
      <c r="F684" s="8"/>
      <c r="G684" s="9"/>
      <c r="H684" s="9"/>
      <c r="I684" s="8"/>
      <c r="J684" s="9"/>
      <c r="K684" s="10"/>
    </row>
    <row r="685" spans="4:23" x14ac:dyDescent="0.25">
      <c r="D685" s="6" t="s">
        <v>349</v>
      </c>
      <c r="E685" s="7" t="s">
        <v>325</v>
      </c>
      <c r="F685" s="8"/>
      <c r="G685" s="9"/>
      <c r="H685" s="9"/>
      <c r="I685" s="8"/>
      <c r="J685" s="16">
        <f>TRUNC(J664*F683/100,2)</f>
        <v>0</v>
      </c>
      <c r="K685" s="16"/>
    </row>
    <row r="686" spans="4:23" x14ac:dyDescent="0.25">
      <c r="D686" s="6" t="s">
        <v>350</v>
      </c>
      <c r="E686" s="7" t="s">
        <v>325</v>
      </c>
      <c r="F686" s="8"/>
      <c r="G686" s="9"/>
      <c r="H686" s="9"/>
      <c r="I686" s="8"/>
      <c r="J686" s="204"/>
      <c r="K686" s="16">
        <f>TRUNC(K665*F683/100,2)</f>
        <v>0</v>
      </c>
    </row>
    <row r="692" spans="1:17" hidden="1" x14ac:dyDescent="0.25">
      <c r="A692" s="199">
        <v>20</v>
      </c>
      <c r="B692" s="414"/>
      <c r="C692" s="415"/>
      <c r="D692" s="199" t="s">
        <v>580</v>
      </c>
      <c r="E692" s="199" t="s">
        <v>325</v>
      </c>
      <c r="F692" s="416"/>
      <c r="G692" s="219"/>
      <c r="H692" s="199"/>
      <c r="I692" s="199"/>
      <c r="J692" s="199"/>
      <c r="K692" s="199"/>
      <c r="L692" s="337">
        <f>SUM(L693:L693)</f>
        <v>0</v>
      </c>
    </row>
    <row r="693" spans="1:17" ht="52.8" hidden="1" x14ac:dyDescent="0.25">
      <c r="A693" s="325" t="s">
        <v>836</v>
      </c>
      <c r="B693" s="334" t="s">
        <v>569</v>
      </c>
      <c r="C693" s="331" t="s">
        <v>22</v>
      </c>
      <c r="D693" s="325" t="s">
        <v>581</v>
      </c>
      <c r="E693" s="332" t="s">
        <v>643</v>
      </c>
      <c r="F693" s="379"/>
      <c r="G693" s="208"/>
      <c r="H693" s="208"/>
      <c r="I693" s="208">
        <f t="shared" ref="I693" si="365">TRUNC(SUM(G693:H693),2)</f>
        <v>0</v>
      </c>
      <c r="J693" s="208">
        <f t="shared" ref="J693" si="366">TRUNC(F693*G693,2)</f>
        <v>0</v>
      </c>
      <c r="K693" s="208">
        <f t="shared" ref="K693" si="367">TRUNC(F693*H693,2)</f>
        <v>0</v>
      </c>
      <c r="L693" s="208">
        <f t="shared" ref="L693" si="368">TRUNC(SUM(J693,K693),2)</f>
        <v>0</v>
      </c>
      <c r="N693" s="417"/>
      <c r="P693" s="418"/>
      <c r="Q693" s="418"/>
    </row>
    <row r="694" spans="1:17" hidden="1" x14ac:dyDescent="0.25">
      <c r="A694" s="364"/>
      <c r="B694" s="365"/>
      <c r="C694" s="366"/>
      <c r="D694" s="367" t="s">
        <v>324</v>
      </c>
      <c r="E694" s="368" t="s">
        <v>325</v>
      </c>
      <c r="F694" s="369"/>
      <c r="G694" s="370"/>
      <c r="H694" s="370"/>
      <c r="I694" s="370"/>
      <c r="J694" s="371">
        <f>SUM(J693:J693)</f>
        <v>0</v>
      </c>
      <c r="K694" s="371">
        <f>SUM(K693:K693)</f>
        <v>0</v>
      </c>
      <c r="L694" s="370"/>
    </row>
    <row r="695" spans="1:17" hidden="1" x14ac:dyDescent="0.25">
      <c r="A695" s="372"/>
      <c r="B695" s="373"/>
      <c r="C695" s="373"/>
      <c r="D695" s="395" t="s">
        <v>325</v>
      </c>
      <c r="E695" s="396" t="s">
        <v>325</v>
      </c>
      <c r="F695" s="397"/>
      <c r="G695" s="375"/>
      <c r="H695" s="375"/>
      <c r="I695" s="375"/>
      <c r="J695" s="376"/>
      <c r="K695" s="376">
        <f>SUM(J694:K694)</f>
        <v>0</v>
      </c>
      <c r="L695" s="375"/>
    </row>
    <row r="696" spans="1:17" hidden="1" x14ac:dyDescent="0.25"/>
    <row r="697" spans="1:17" hidden="1" x14ac:dyDescent="0.25"/>
    <row r="698" spans="1:17" hidden="1" x14ac:dyDescent="0.25">
      <c r="A698" s="200"/>
      <c r="B698" s="200"/>
      <c r="C698" s="200"/>
      <c r="D698" s="6" t="s">
        <v>326</v>
      </c>
      <c r="E698" s="7" t="s">
        <v>325</v>
      </c>
      <c r="F698" s="8"/>
      <c r="G698" s="329"/>
      <c r="H698" s="329"/>
      <c r="I698" s="329"/>
      <c r="J698" s="16">
        <f>TRUNC(SUM(J694),2)</f>
        <v>0</v>
      </c>
      <c r="K698" s="201"/>
    </row>
    <row r="699" spans="1:17" hidden="1" x14ac:dyDescent="0.25">
      <c r="A699" s="200"/>
      <c r="B699" s="200"/>
      <c r="C699" s="200"/>
      <c r="D699" s="6" t="s">
        <v>327</v>
      </c>
      <c r="E699" s="7" t="s">
        <v>325</v>
      </c>
      <c r="F699" s="8"/>
      <c r="G699" s="329"/>
      <c r="H699" s="329"/>
      <c r="I699" s="329"/>
      <c r="J699" s="201"/>
      <c r="K699" s="16">
        <f>TRUNC(SUM(K694),2)</f>
        <v>0</v>
      </c>
    </row>
    <row r="700" spans="1:17" hidden="1" x14ac:dyDescent="0.25">
      <c r="A700" s="200"/>
      <c r="B700" s="200"/>
      <c r="C700" s="200"/>
      <c r="D700" s="18" t="s">
        <v>325</v>
      </c>
      <c r="E700" s="7" t="s">
        <v>325</v>
      </c>
      <c r="F700" s="8"/>
      <c r="G700" s="329"/>
      <c r="H700" s="329"/>
      <c r="I700" s="329"/>
      <c r="J700" s="329"/>
      <c r="K700" s="201"/>
    </row>
    <row r="701" spans="1:17" hidden="1" x14ac:dyDescent="0.25">
      <c r="A701" s="202"/>
      <c r="B701" s="202"/>
      <c r="C701" s="202"/>
      <c r="D701" s="25" t="s">
        <v>571</v>
      </c>
      <c r="E701" s="26" t="s">
        <v>325</v>
      </c>
      <c r="F701" s="27"/>
      <c r="G701" s="203"/>
      <c r="H701" s="203"/>
      <c r="I701" s="203"/>
      <c r="J701" s="203"/>
      <c r="K701" s="28">
        <f>TRUNC(SUM(J698,K699),2)</f>
        <v>0</v>
      </c>
    </row>
    <row r="702" spans="1:17" hidden="1" x14ac:dyDescent="0.25"/>
    <row r="703" spans="1:17" hidden="1" x14ac:dyDescent="0.25"/>
    <row r="704" spans="1:17" hidden="1" x14ac:dyDescent="0.25">
      <c r="D704" s="6" t="s">
        <v>348</v>
      </c>
      <c r="E704" s="7" t="s">
        <v>325</v>
      </c>
      <c r="F704" s="24"/>
      <c r="G704" s="9"/>
      <c r="H704" s="9"/>
      <c r="I704" s="8"/>
      <c r="J704" s="9"/>
      <c r="K704" s="10"/>
    </row>
    <row r="705" spans="4:23" hidden="1" x14ac:dyDescent="0.25">
      <c r="D705" s="6" t="s">
        <v>330</v>
      </c>
      <c r="E705" s="7" t="s">
        <v>325</v>
      </c>
      <c r="F705" s="8"/>
      <c r="G705" s="9"/>
      <c r="H705" s="9"/>
      <c r="I705" s="8"/>
      <c r="J705" s="9"/>
      <c r="K705" s="10"/>
    </row>
    <row r="706" spans="4:23" hidden="1" x14ac:dyDescent="0.25">
      <c r="D706" s="11" t="s">
        <v>331</v>
      </c>
      <c r="E706" s="7" t="s">
        <v>325</v>
      </c>
      <c r="F706" s="8">
        <v>0.48</v>
      </c>
      <c r="G706" s="329"/>
      <c r="H706" s="329"/>
      <c r="I706" s="8"/>
      <c r="J706" s="329"/>
      <c r="K706" s="329"/>
    </row>
    <row r="707" spans="4:23" hidden="1" x14ac:dyDescent="0.25">
      <c r="D707" s="11" t="s">
        <v>332</v>
      </c>
      <c r="E707" s="7" t="s">
        <v>325</v>
      </c>
      <c r="F707" s="8">
        <v>0.85</v>
      </c>
      <c r="G707" s="329"/>
      <c r="H707" s="7" t="s">
        <v>333</v>
      </c>
      <c r="I707" s="8"/>
      <c r="J707" s="329"/>
      <c r="K707" s="329"/>
    </row>
    <row r="708" spans="4:23" hidden="1" x14ac:dyDescent="0.25">
      <c r="D708" s="11" t="s">
        <v>334</v>
      </c>
      <c r="E708" s="7" t="s">
        <v>325</v>
      </c>
      <c r="F708" s="8">
        <v>1.21</v>
      </c>
      <c r="G708" s="329"/>
      <c r="H708" s="9" t="s">
        <v>335</v>
      </c>
      <c r="I708" s="8"/>
      <c r="J708" s="329"/>
      <c r="K708" s="329"/>
    </row>
    <row r="709" spans="4:23" hidden="1" x14ac:dyDescent="0.25">
      <c r="D709" s="11" t="s">
        <v>336</v>
      </c>
      <c r="E709" s="7" t="s">
        <v>325</v>
      </c>
      <c r="F709" s="8">
        <v>3.45</v>
      </c>
      <c r="G709" s="432"/>
      <c r="H709" s="432"/>
      <c r="I709" s="432"/>
      <c r="J709" s="432"/>
      <c r="K709" s="432"/>
    </row>
    <row r="710" spans="4:23" hidden="1" x14ac:dyDescent="0.25">
      <c r="D710" s="11" t="s">
        <v>337</v>
      </c>
      <c r="E710" s="7" t="s">
        <v>325</v>
      </c>
      <c r="F710" s="8">
        <v>5.1100000000000003</v>
      </c>
      <c r="G710" s="432"/>
      <c r="H710" s="432"/>
      <c r="I710" s="432"/>
      <c r="J710" s="432"/>
      <c r="K710" s="432"/>
    </row>
    <row r="711" spans="4:23" hidden="1" x14ac:dyDescent="0.25">
      <c r="D711" s="11" t="s">
        <v>338</v>
      </c>
      <c r="E711" s="7" t="s">
        <v>325</v>
      </c>
      <c r="F711" s="8">
        <f>SUM(F712:F715)</f>
        <v>8.75</v>
      </c>
      <c r="G711" s="329"/>
      <c r="H711" s="329"/>
      <c r="I711" s="8"/>
      <c r="J711" s="329"/>
      <c r="K711" s="329"/>
    </row>
    <row r="712" spans="4:23" hidden="1" x14ac:dyDescent="0.25">
      <c r="D712" s="12" t="s">
        <v>339</v>
      </c>
      <c r="E712" s="7" t="s">
        <v>325</v>
      </c>
      <c r="F712" s="13">
        <v>3</v>
      </c>
      <c r="G712" s="329"/>
      <c r="H712" s="329"/>
      <c r="I712" s="8"/>
      <c r="J712" s="329"/>
      <c r="K712" s="329"/>
    </row>
    <row r="713" spans="4:23" hidden="1" x14ac:dyDescent="0.25">
      <c r="D713" s="12" t="s">
        <v>340</v>
      </c>
      <c r="E713" s="7" t="s">
        <v>325</v>
      </c>
      <c r="F713" s="13">
        <v>0.65</v>
      </c>
      <c r="G713" s="329"/>
      <c r="H713" s="329"/>
      <c r="I713" s="8"/>
      <c r="J713" s="329"/>
      <c r="K713" s="329"/>
    </row>
    <row r="714" spans="4:23" hidden="1" x14ac:dyDescent="0.25">
      <c r="D714" s="12" t="s">
        <v>341</v>
      </c>
      <c r="E714" s="7" t="s">
        <v>325</v>
      </c>
      <c r="F714" s="13">
        <v>3.6</v>
      </c>
      <c r="G714" s="329"/>
      <c r="H714" s="329"/>
      <c r="I714" s="8"/>
      <c r="J714" s="329"/>
      <c r="K714" s="329"/>
    </row>
    <row r="715" spans="4:23" hidden="1" x14ac:dyDescent="0.25">
      <c r="D715" s="12" t="s">
        <v>346</v>
      </c>
      <c r="E715" s="7" t="s">
        <v>325</v>
      </c>
      <c r="F715" s="13">
        <v>1.5</v>
      </c>
      <c r="G715" s="329"/>
      <c r="H715" s="329"/>
      <c r="I715" s="8"/>
      <c r="J715" s="329"/>
      <c r="K715" s="329"/>
      <c r="N715" s="433" t="s">
        <v>347</v>
      </c>
      <c r="O715" s="433"/>
      <c r="P715" s="433"/>
      <c r="Q715" s="433"/>
      <c r="R715" s="433"/>
      <c r="S715" s="433"/>
      <c r="T715" s="433"/>
      <c r="U715" s="433"/>
      <c r="V715" s="433"/>
      <c r="W715" s="433"/>
    </row>
    <row r="716" spans="4:23" hidden="1" x14ac:dyDescent="0.25">
      <c r="D716" s="11" t="s">
        <v>325</v>
      </c>
      <c r="E716" s="7" t="s">
        <v>325</v>
      </c>
      <c r="F716" s="8"/>
      <c r="G716" s="329"/>
      <c r="H716" s="329"/>
      <c r="I716" s="8"/>
      <c r="J716" s="329"/>
      <c r="K716" s="329"/>
    </row>
    <row r="717" spans="4:23" hidden="1" x14ac:dyDescent="0.25">
      <c r="D717" s="6" t="s">
        <v>342</v>
      </c>
      <c r="E717" s="14" t="s">
        <v>325</v>
      </c>
      <c r="F717" s="15">
        <f>TRUNC(((((1+(F709+F706+F707)/100)*((1+F708/100))*((1+F710/100)))/((1-F711/100)))-1)*100,3)</f>
        <v>22.155000000000001</v>
      </c>
      <c r="G717" s="329"/>
      <c r="H717" s="329"/>
      <c r="I717" s="8"/>
      <c r="J717" s="9"/>
      <c r="K717" s="10"/>
    </row>
    <row r="718" spans="4:23" hidden="1" x14ac:dyDescent="0.25">
      <c r="D718" s="18" t="s">
        <v>325</v>
      </c>
      <c r="E718" s="7" t="s">
        <v>325</v>
      </c>
      <c r="F718" s="8"/>
      <c r="G718" s="9"/>
      <c r="H718" s="9"/>
      <c r="I718" s="8"/>
      <c r="J718" s="9"/>
      <c r="K718" s="10"/>
    </row>
    <row r="719" spans="4:23" hidden="1" x14ac:dyDescent="0.25">
      <c r="D719" s="14" t="s">
        <v>578</v>
      </c>
      <c r="E719" s="7" t="s">
        <v>325</v>
      </c>
      <c r="F719" s="8"/>
      <c r="G719" s="9"/>
      <c r="H719" s="9" t="s">
        <v>583</v>
      </c>
      <c r="I719" s="8"/>
      <c r="J719" s="16">
        <f>TRUNC(J698*F717/100,2)</f>
        <v>0</v>
      </c>
      <c r="K719" s="16"/>
    </row>
    <row r="720" spans="4:23" hidden="1" x14ac:dyDescent="0.25">
      <c r="D720" s="14" t="s">
        <v>579</v>
      </c>
      <c r="E720" s="7" t="s">
        <v>325</v>
      </c>
      <c r="F720" s="8"/>
      <c r="G720" s="9"/>
      <c r="H720" s="9"/>
      <c r="I720" s="8"/>
      <c r="J720" s="204"/>
      <c r="K720" s="16">
        <f>TRUNC(K699*F717/100,2)</f>
        <v>0</v>
      </c>
    </row>
    <row r="721" spans="1:12" hidden="1" x14ac:dyDescent="0.25"/>
    <row r="722" spans="1:12" hidden="1" x14ac:dyDescent="0.25"/>
    <row r="723" spans="1:12" hidden="1" x14ac:dyDescent="0.25"/>
    <row r="724" spans="1:12" hidden="1" x14ac:dyDescent="0.25"/>
    <row r="725" spans="1:12" hidden="1" x14ac:dyDescent="0.25"/>
    <row r="726" spans="1:12" x14ac:dyDescent="0.25">
      <c r="A726" s="24"/>
      <c r="B726" s="24"/>
      <c r="C726" s="24"/>
      <c r="D726" s="18" t="s">
        <v>325</v>
      </c>
      <c r="E726" s="7" t="s">
        <v>325</v>
      </c>
      <c r="F726" s="8"/>
      <c r="G726" s="9"/>
      <c r="H726" s="9"/>
      <c r="I726" s="8"/>
      <c r="J726" s="9"/>
      <c r="K726" s="10"/>
      <c r="L726" s="17"/>
    </row>
    <row r="727" spans="1:12" x14ac:dyDescent="0.25">
      <c r="A727" s="24"/>
      <c r="B727" s="24"/>
      <c r="C727" s="24"/>
      <c r="D727" s="6" t="s">
        <v>351</v>
      </c>
      <c r="E727" s="7" t="s">
        <v>325</v>
      </c>
      <c r="F727" s="8"/>
      <c r="G727" s="9"/>
      <c r="H727" s="9"/>
      <c r="I727" s="8"/>
      <c r="J727" s="16">
        <f>TRUNC(J719+J698+J685+J664+J632+J611,2)</f>
        <v>0</v>
      </c>
      <c r="K727" s="17"/>
      <c r="L727" s="17"/>
    </row>
    <row r="728" spans="1:12" x14ac:dyDescent="0.25">
      <c r="A728" s="24"/>
      <c r="B728" s="24"/>
      <c r="C728" s="24"/>
      <c r="D728" s="6" t="s">
        <v>352</v>
      </c>
      <c r="E728" s="7" t="s">
        <v>325</v>
      </c>
      <c r="F728" s="8"/>
      <c r="G728" s="9"/>
      <c r="H728" s="9"/>
      <c r="I728" s="8"/>
      <c r="J728" s="17"/>
      <c r="K728" s="16">
        <f>TRUNC(K720+K699+K665+K633+K612,2)</f>
        <v>0</v>
      </c>
      <c r="L728" s="17"/>
    </row>
    <row r="729" spans="1:12" x14ac:dyDescent="0.25">
      <c r="A729" s="24"/>
      <c r="B729" s="24"/>
      <c r="C729" s="24"/>
      <c r="D729" s="18" t="s">
        <v>325</v>
      </c>
      <c r="E729" s="7" t="s">
        <v>325</v>
      </c>
      <c r="F729" s="8"/>
      <c r="G729" s="9"/>
      <c r="H729" s="9"/>
      <c r="I729" s="8"/>
      <c r="J729" s="9"/>
      <c r="K729" s="10"/>
      <c r="L729" s="17"/>
    </row>
    <row r="730" spans="1:12" x14ac:dyDescent="0.25">
      <c r="A730" s="29"/>
      <c r="B730" s="29"/>
      <c r="C730" s="29"/>
      <c r="D730" s="25" t="s">
        <v>328</v>
      </c>
      <c r="E730" s="26" t="s">
        <v>325</v>
      </c>
      <c r="F730" s="27"/>
      <c r="G730" s="30"/>
      <c r="H730" s="30"/>
      <c r="I730" s="27"/>
      <c r="J730" s="30"/>
      <c r="K730" s="28">
        <f>TRUNC(J727+K728,2)</f>
        <v>0</v>
      </c>
      <c r="L730" s="31"/>
    </row>
    <row r="731" spans="1:12" x14ac:dyDescent="0.25">
      <c r="A731" s="24"/>
      <c r="B731" s="24"/>
      <c r="C731" s="24"/>
      <c r="D731" s="18" t="s">
        <v>325</v>
      </c>
      <c r="E731" s="24" t="s">
        <v>325</v>
      </c>
      <c r="F731" s="419"/>
      <c r="G731" s="17"/>
      <c r="H731" s="17"/>
      <c r="I731" s="17"/>
      <c r="J731" s="17"/>
      <c r="K731" s="17"/>
      <c r="L731" s="17"/>
    </row>
    <row r="732" spans="1:12" x14ac:dyDescent="0.25">
      <c r="A732" s="24"/>
      <c r="B732" s="24"/>
      <c r="C732" s="24"/>
      <c r="D732" s="9" t="s">
        <v>353</v>
      </c>
      <c r="E732" s="7" t="s">
        <v>358</v>
      </c>
      <c r="F732" s="329"/>
      <c r="G732" s="9"/>
      <c r="H732" s="9"/>
      <c r="I732" s="9"/>
      <c r="J732" s="9"/>
      <c r="K732" s="9"/>
      <c r="L732" s="9"/>
    </row>
    <row r="733" spans="1:12" x14ac:dyDescent="0.25">
      <c r="A733" s="24"/>
      <c r="B733" s="24"/>
      <c r="C733" s="24"/>
      <c r="D733" s="7" t="s">
        <v>354</v>
      </c>
      <c r="E733" s="7" t="s">
        <v>355</v>
      </c>
      <c r="F733" s="329"/>
      <c r="G733" s="9"/>
      <c r="H733" s="9"/>
      <c r="I733" s="9"/>
      <c r="J733" s="9"/>
      <c r="K733" s="9" t="s">
        <v>356</v>
      </c>
      <c r="L733" s="9"/>
    </row>
    <row r="734" spans="1:12" x14ac:dyDescent="0.25">
      <c r="A734" s="24"/>
      <c r="B734" s="24"/>
      <c r="C734" s="24"/>
      <c r="D734" s="7" t="s">
        <v>357</v>
      </c>
      <c r="E734" s="8" t="s">
        <v>325</v>
      </c>
      <c r="F734" s="329"/>
      <c r="G734" s="9"/>
      <c r="H734" s="9"/>
      <c r="I734" s="9"/>
      <c r="J734" s="9"/>
      <c r="K734" s="9"/>
      <c r="L734" s="9"/>
    </row>
  </sheetData>
  <mergeCells count="15">
    <mergeCell ref="G709:K710"/>
    <mergeCell ref="N715:W715"/>
    <mergeCell ref="G622:K623"/>
    <mergeCell ref="N628:W628"/>
    <mergeCell ref="G675:K676"/>
    <mergeCell ref="N681:W681"/>
    <mergeCell ref="A7:L7"/>
    <mergeCell ref="A8:A9"/>
    <mergeCell ref="B8:B9"/>
    <mergeCell ref="C8:C9"/>
    <mergeCell ref="D8:D9"/>
    <mergeCell ref="E8:E9"/>
    <mergeCell ref="F8:F9"/>
    <mergeCell ref="G8:I8"/>
    <mergeCell ref="J8:L8"/>
  </mergeCells>
  <printOptions horizontalCentered="1"/>
  <pageMargins left="0.39370078740157483" right="0.39370078740157483" top="0.59055118110236227" bottom="0.59055118110236227" header="0.39370078740157483" footer="0.39370078740157483"/>
  <pageSetup paperSize="9" scale="10" fitToHeight="29" orientation="portrait" r:id="rId1"/>
  <headerFooter>
    <oddHeader>&amp;L &amp;C &amp;R</oddHeader>
    <oddFooter>&amp;L &amp;C &amp;R</oddFooter>
  </headerFooter>
  <ignoredErrors>
    <ignoredError sqref="F202 L542 L643 I160:I161 L604 L516 L512 L507 L456 L452 L450 L353 L342 L336 L243 I213 L209 L204 L185 L171 L158 L137 L74 L64 L32 L26 L20 L14 L69 L80:L90 L135 F182 L110 L105 L309 L656:L657" formula="1"/>
    <ignoredError sqref="I659:L659 I658:K658 I640:I642 I181:I188 I39 I605:I608 I555:I595 I502:I552 I448:I454 I360:I443 I355 I343:I347 I349:I352 I220:I242 I196:I199 I205:I206 I12:I33 I57:I62 I65:I78 I81:I94 I133:I134 I208 I244:I308 I601:I603 I44:I52 I97:L104 I106:L109 I111:L114 I110:K110 I310:L327 I332:I341 I644:K655 I657 I475 I457:I471 I476:I496 I472" formulaRange="1"/>
    <ignoredError sqref="L658 I189 I348 I207 L644:L655" formula="1" formulaRange="1"/>
    <ignoredError sqref="D307:F307 D244 F244 D245 F245 D246 F246 D247 F247 D248 F248 D274 F274 D275 F275 D276 F276 D279 F279 F280 D281 F281 D282 F282 D283:D289 F289 D290 F290 D291 F291 D292:D299 F299 D300 F300 D301 F301 D302 F302 D303 F303 D308 F308 D422:F422 D360 F360 D361 F361 D362:D370 F362:F370 D371 F371 D373:D386 F372:F386 D387 F387 D388 F388 D389 F389 D390 F390 D391 F391 D392 F392 D393 F393 D394 F394 D395 F395 D396 F396 D397 F397 D414:D421 F398:F421 D431:F431 D423 F423 D424 F424 D426:D430 F425:F430 D443 D432 F432 D437:D438 F433:F438 D439 F439 D440 F440 D441 F441 D442 F442 F443 D249 D250 D251 D252 D253 D254 D255 D256 D257 D258 D259 D260 D261 D262 D263 D264 D265 D266 D267 D268 D269 D270 D271 D272 F249 F250 F251 F252 F253 F254 F255 F256 F257 F258 F259 F260 F261 F262 F263 F264 F265 F266 F267 F268 F269 F270 F271 F272 F273 F277 F278 F283 F284 F285 F286 F287 F288 F292 F293 F294 F295 F296 F297 F298 D304:F304 D305:F305 D306:F306 D273 D277 D278 D280 D372 D398 D399:D413 D425 D433:D436" numberStoredAsText="1"/>
  </ignoredErrors>
  <drawing r:id="rId2"/>
  <legacyDrawing r:id="rId3"/>
  <oleObjects>
    <mc:AlternateContent xmlns:mc="http://schemas.openxmlformats.org/markup-compatibility/2006">
      <mc:Choice Requires="x14">
        <oleObject progId="Equation.3" shapeId="4097" r:id="rId4">
          <objectPr defaultSize="0" autoPict="0" r:id="rId5">
            <anchor moveWithCells="1" sizeWithCells="1">
              <from>
                <xdr:col>6</xdr:col>
                <xdr:colOff>0</xdr:colOff>
                <xdr:row>621</xdr:row>
                <xdr:rowOff>7620</xdr:rowOff>
              </from>
              <to>
                <xdr:col>11</xdr:col>
                <xdr:colOff>0</xdr:colOff>
                <xdr:row>622</xdr:row>
                <xdr:rowOff>114300</xdr:rowOff>
              </to>
            </anchor>
          </objectPr>
        </oleObject>
      </mc:Choice>
      <mc:Fallback>
        <oleObject progId="Equation.3" shapeId="4097" r:id="rId4"/>
      </mc:Fallback>
    </mc:AlternateContent>
    <mc:AlternateContent xmlns:mc="http://schemas.openxmlformats.org/markup-compatibility/2006">
      <mc:Choice Requires="x14">
        <oleObject progId="Equation.3" shapeId="4098" r:id="rId6">
          <objectPr defaultSize="0" autoPict="0" r:id="rId5">
            <anchor moveWithCells="1" sizeWithCells="1">
              <from>
                <xdr:col>6</xdr:col>
                <xdr:colOff>0</xdr:colOff>
                <xdr:row>674</xdr:row>
                <xdr:rowOff>7620</xdr:rowOff>
              </from>
              <to>
                <xdr:col>11</xdr:col>
                <xdr:colOff>0</xdr:colOff>
                <xdr:row>675</xdr:row>
                <xdr:rowOff>114300</xdr:rowOff>
              </to>
            </anchor>
          </objectPr>
        </oleObject>
      </mc:Choice>
      <mc:Fallback>
        <oleObject progId="Equation.3" shapeId="4098" r:id="rId6"/>
      </mc:Fallback>
    </mc:AlternateContent>
    <mc:AlternateContent xmlns:mc="http://schemas.openxmlformats.org/markup-compatibility/2006">
      <mc:Choice Requires="x14">
        <oleObject progId="Equation.3" shapeId="4099" r:id="rId7">
          <objectPr defaultSize="0" autoPict="0" r:id="rId5">
            <anchor moveWithCells="1" sizeWithCells="1">
              <from>
                <xdr:col>6</xdr:col>
                <xdr:colOff>0</xdr:colOff>
                <xdr:row>708</xdr:row>
                <xdr:rowOff>7620</xdr:rowOff>
              </from>
              <to>
                <xdr:col>11</xdr:col>
                <xdr:colOff>0</xdr:colOff>
                <xdr:row>709</xdr:row>
                <xdr:rowOff>114300</xdr:rowOff>
              </to>
            </anchor>
          </objectPr>
        </oleObject>
      </mc:Choice>
      <mc:Fallback>
        <oleObject progId="Equation.3" shapeId="4099"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76"/>
  <sheetViews>
    <sheetView view="pageBreakPreview" zoomScaleNormal="100" zoomScaleSheetLayoutView="100" workbookViewId="0">
      <pane xSplit="2" ySplit="5" topLeftCell="C6" activePane="bottomRight" state="frozen"/>
      <selection pane="topRight" activeCell="C1" sqref="C1"/>
      <selection pane="bottomLeft" activeCell="A8" sqref="A8"/>
      <selection pane="bottomRight" activeCell="E36" sqref="E36 E25"/>
    </sheetView>
  </sheetViews>
  <sheetFormatPr defaultRowHeight="13.8" x14ac:dyDescent="0.25"/>
  <cols>
    <col min="1" max="1" width="4.3984375" style="32" customWidth="1"/>
    <col min="2" max="2" width="30.5" style="33" customWidth="1"/>
    <col min="3" max="3" width="10.59765625" style="34" customWidth="1"/>
    <col min="4" max="4" width="9" style="34"/>
    <col min="5" max="5" width="10.69921875" style="34" customWidth="1"/>
    <col min="6" max="6" width="5.19921875" style="34" customWidth="1"/>
    <col min="7" max="7" width="10.09765625" style="35" bestFit="1" customWidth="1"/>
    <col min="8" max="8" width="6" style="179" customWidth="1"/>
    <col min="9" max="9" width="11.59765625" style="35" bestFit="1" customWidth="1"/>
    <col min="10" max="10" width="5.8984375" style="35" bestFit="1" customWidth="1"/>
    <col min="11" max="11" width="10.09765625" style="35" bestFit="1" customWidth="1"/>
    <col min="12" max="12" width="6" style="35" customWidth="1"/>
    <col min="13" max="13" width="11.59765625" style="35" bestFit="1" customWidth="1"/>
    <col min="14" max="14" width="5.8984375" style="35" bestFit="1" customWidth="1"/>
    <col min="15" max="15" width="10.09765625" style="35" bestFit="1" customWidth="1"/>
    <col min="16" max="16" width="6.09765625" style="35" customWidth="1"/>
    <col min="17" max="17" width="11.59765625" style="35" bestFit="1" customWidth="1"/>
    <col min="18" max="18" width="5.8984375" style="35" bestFit="1" customWidth="1"/>
    <col min="19" max="19" width="10.09765625" style="35" bestFit="1" customWidth="1"/>
    <col min="20" max="20" width="6" style="35" customWidth="1"/>
    <col min="21" max="21" width="11.59765625" style="35" customWidth="1"/>
    <col min="22" max="22" width="5.8984375" style="35" bestFit="1" customWidth="1"/>
    <col min="23" max="23" width="10.09765625" style="35" bestFit="1" customWidth="1"/>
    <col min="24" max="24" width="6" style="35" customWidth="1"/>
    <col min="25" max="25" width="11.59765625" style="35" customWidth="1"/>
    <col min="26" max="26" width="5.8984375" style="35" bestFit="1" customWidth="1"/>
    <col min="27" max="27" width="10.09765625" style="35" bestFit="1" customWidth="1"/>
    <col min="28" max="28" width="6" style="35" customWidth="1"/>
    <col min="29" max="29" width="11.59765625" style="35" bestFit="1" customWidth="1"/>
    <col min="30" max="30" width="5.8984375" style="35" bestFit="1" customWidth="1"/>
    <col min="31" max="31" width="10.09765625" style="35" bestFit="1" customWidth="1"/>
    <col min="32" max="32" width="6" style="35" customWidth="1"/>
    <col min="33" max="33" width="11.59765625" style="35" bestFit="1" customWidth="1"/>
    <col min="34" max="34" width="5.8984375" style="35" bestFit="1" customWidth="1"/>
    <col min="35" max="35" width="10.09765625" style="35" bestFit="1" customWidth="1"/>
    <col min="36" max="36" width="6" style="35" customWidth="1"/>
    <col min="37" max="37" width="11.59765625" style="35" bestFit="1" customWidth="1"/>
    <col min="38" max="38" width="5.8984375" style="35" bestFit="1" customWidth="1"/>
    <col min="39" max="39" width="10.09765625" style="35" bestFit="1" customWidth="1"/>
    <col min="40" max="40" width="6" style="35" customWidth="1"/>
    <col min="41" max="41" width="11.59765625" style="35" bestFit="1" customWidth="1"/>
    <col min="42" max="42" width="5.8984375" style="35" bestFit="1" customWidth="1"/>
    <col min="43" max="43" width="10.09765625" style="35" bestFit="1" customWidth="1"/>
    <col min="44" max="44" width="6" style="35" customWidth="1"/>
    <col min="45" max="45" width="11.59765625" style="35" bestFit="1" customWidth="1"/>
    <col min="46" max="46" width="5.8984375" style="35" bestFit="1" customWidth="1"/>
    <col min="47" max="47" width="7.59765625" style="35" hidden="1" customWidth="1"/>
    <col min="48" max="48" width="5.3984375" style="35" hidden="1" customWidth="1"/>
    <col min="49" max="49" width="7.59765625" style="35" hidden="1" customWidth="1"/>
    <col min="50" max="50" width="5.3984375" style="35" hidden="1" customWidth="1"/>
    <col min="51" max="51" width="7.59765625" style="35" hidden="1" customWidth="1"/>
    <col min="52" max="52" width="5.3984375" style="35" hidden="1" customWidth="1"/>
    <col min="53" max="53" width="7.59765625" style="35" hidden="1" customWidth="1"/>
    <col min="54" max="54" width="5.3984375" style="35" hidden="1" customWidth="1"/>
    <col min="55" max="55" width="7.59765625" style="35" hidden="1" customWidth="1"/>
    <col min="56" max="56" width="5.3984375" style="35" hidden="1" customWidth="1"/>
    <col min="57" max="57" width="7.59765625" style="35" hidden="1" customWidth="1"/>
    <col min="58" max="58" width="5.3984375" style="35" hidden="1" customWidth="1"/>
    <col min="59" max="59" width="7.59765625" style="35" hidden="1" customWidth="1"/>
    <col min="60" max="60" width="5.3984375" style="35" hidden="1" customWidth="1"/>
    <col min="61" max="61" width="7.59765625" style="35" hidden="1" customWidth="1"/>
    <col min="62" max="62" width="5.3984375" style="35" hidden="1" customWidth="1"/>
    <col min="63" max="63" width="7.59765625" style="35" hidden="1" customWidth="1"/>
    <col min="64" max="64" width="5.3984375" style="35" hidden="1" customWidth="1"/>
    <col min="65" max="65" width="7.59765625" style="35" hidden="1" customWidth="1"/>
    <col min="66" max="66" width="5.3984375" style="35" hidden="1" customWidth="1"/>
    <col min="67" max="67" width="7.59765625" style="35" hidden="1" customWidth="1"/>
    <col min="68" max="68" width="5.3984375" style="35" hidden="1" customWidth="1"/>
    <col min="69" max="69" width="7.59765625" style="35" hidden="1" customWidth="1"/>
    <col min="70" max="70" width="5.3984375" style="35" hidden="1" customWidth="1"/>
    <col min="72" max="73" width="5.3984375" style="36" bestFit="1" customWidth="1"/>
    <col min="74" max="74" width="2.09765625" bestFit="1" customWidth="1"/>
    <col min="225" max="225" width="4.3984375" customWidth="1"/>
    <col min="226" max="226" width="30.5" customWidth="1"/>
    <col min="229" max="229" width="10.69921875" customWidth="1"/>
    <col min="230" max="230" width="5.19921875" customWidth="1"/>
    <col min="231" max="231" width="7.59765625" customWidth="1"/>
    <col min="232" max="232" width="5.3984375" customWidth="1"/>
    <col min="233" max="233" width="7.59765625" customWidth="1"/>
    <col min="234" max="234" width="6" bestFit="1" customWidth="1"/>
    <col min="235" max="235" width="7.59765625" customWidth="1"/>
    <col min="236" max="236" width="5.3984375" customWidth="1"/>
    <col min="237" max="237" width="7.59765625" customWidth="1"/>
    <col min="238" max="238" width="5.3984375" bestFit="1" customWidth="1"/>
    <col min="239" max="239" width="7.59765625" customWidth="1"/>
    <col min="240" max="240" width="5.3984375" customWidth="1"/>
    <col min="241" max="241" width="7.59765625" customWidth="1"/>
    <col min="242" max="242" width="5.3984375" bestFit="1" customWidth="1"/>
    <col min="243" max="243" width="7.59765625" customWidth="1"/>
    <col min="244" max="244" width="5.3984375" customWidth="1"/>
    <col min="245" max="245" width="7.59765625" customWidth="1"/>
    <col min="246" max="246" width="5.3984375" bestFit="1" customWidth="1"/>
    <col min="247" max="247" width="7.59765625" customWidth="1"/>
    <col min="248" max="248" width="5.3984375" customWidth="1"/>
    <col min="249" max="249" width="7.59765625" customWidth="1"/>
    <col min="250" max="250" width="5.3984375" bestFit="1" customWidth="1"/>
    <col min="251" max="251" width="7.59765625" customWidth="1"/>
    <col min="252" max="252" width="5.3984375" customWidth="1"/>
    <col min="253" max="253" width="7.59765625" customWidth="1"/>
    <col min="254" max="254" width="5.3984375" bestFit="1" customWidth="1"/>
    <col min="255" max="255" width="7.59765625" customWidth="1"/>
    <col min="256" max="256" width="5.3984375" customWidth="1"/>
    <col min="257" max="257" width="7.59765625" customWidth="1"/>
    <col min="258" max="258" width="5.3984375" bestFit="1" customWidth="1"/>
    <col min="259" max="259" width="7.59765625" customWidth="1"/>
    <col min="260" max="260" width="5.3984375" customWidth="1"/>
    <col min="261" max="261" width="7.59765625" customWidth="1"/>
    <col min="262" max="262" width="5.3984375" bestFit="1" customWidth="1"/>
    <col min="263" max="263" width="7.59765625" customWidth="1"/>
    <col min="264" max="264" width="5.3984375" customWidth="1"/>
    <col min="265" max="265" width="7.59765625" customWidth="1"/>
    <col min="266" max="266" width="5.3984375" bestFit="1" customWidth="1"/>
    <col min="267" max="267" width="7.59765625" customWidth="1"/>
    <col min="268" max="268" width="5.3984375" customWidth="1"/>
    <col min="269" max="269" width="7.59765625" customWidth="1"/>
    <col min="270" max="270" width="5.3984375" bestFit="1" customWidth="1"/>
    <col min="271" max="271" width="7.59765625" customWidth="1"/>
    <col min="272" max="272" width="5.3984375" customWidth="1"/>
    <col min="273" max="273" width="7.59765625" customWidth="1"/>
    <col min="274" max="274" width="5.3984375" bestFit="1" customWidth="1"/>
    <col min="275" max="275" width="7.59765625" customWidth="1"/>
    <col min="276" max="276" width="5.3984375" customWidth="1"/>
    <col min="277" max="277" width="7.59765625" customWidth="1"/>
    <col min="278" max="278" width="5.3984375" bestFit="1" customWidth="1"/>
    <col min="279" max="279" width="7.59765625" customWidth="1"/>
    <col min="280" max="280" width="5.3984375" customWidth="1"/>
    <col min="281" max="281" width="7.59765625" customWidth="1"/>
    <col min="282" max="282" width="5.3984375" bestFit="1" customWidth="1"/>
    <col min="283" max="283" width="7.59765625" customWidth="1"/>
    <col min="284" max="284" width="5.3984375" customWidth="1"/>
    <col min="285" max="285" width="7.59765625" customWidth="1"/>
    <col min="286" max="286" width="5.3984375" bestFit="1" customWidth="1"/>
    <col min="287" max="287" width="7.59765625" customWidth="1"/>
    <col min="288" max="288" width="5.3984375" customWidth="1"/>
    <col min="289" max="289" width="7.59765625" customWidth="1"/>
    <col min="290" max="290" width="5.3984375" bestFit="1" customWidth="1"/>
    <col min="291" max="291" width="7.59765625" customWidth="1"/>
    <col min="292" max="292" width="5.3984375" customWidth="1"/>
    <col min="293" max="293" width="7.59765625" customWidth="1"/>
    <col min="294" max="294" width="5.3984375" bestFit="1" customWidth="1"/>
    <col min="295" max="295" width="7.59765625" customWidth="1"/>
    <col min="296" max="296" width="5.3984375" customWidth="1"/>
    <col min="297" max="297" width="7.59765625" customWidth="1"/>
    <col min="298" max="298" width="5.3984375" bestFit="1" customWidth="1"/>
    <col min="299" max="299" width="7.59765625" customWidth="1"/>
    <col min="300" max="300" width="5.3984375" customWidth="1"/>
    <col min="301" max="301" width="7.59765625" customWidth="1"/>
    <col min="302" max="302" width="5.3984375" bestFit="1" customWidth="1"/>
    <col min="303" max="303" width="7.59765625" customWidth="1"/>
    <col min="304" max="304" width="5.3984375" customWidth="1"/>
    <col min="305" max="305" width="7.59765625" customWidth="1"/>
    <col min="306" max="306" width="5.3984375" bestFit="1" customWidth="1"/>
    <col min="307" max="307" width="7.59765625" customWidth="1"/>
    <col min="308" max="308" width="5.3984375" customWidth="1"/>
    <col min="309" max="309" width="7.59765625" customWidth="1"/>
    <col min="310" max="310" width="5.3984375" bestFit="1" customWidth="1"/>
    <col min="311" max="311" width="7.59765625" customWidth="1"/>
    <col min="312" max="312" width="5.3984375" customWidth="1"/>
    <col min="313" max="313" width="7.59765625" customWidth="1"/>
    <col min="314" max="314" width="5.3984375" bestFit="1" customWidth="1"/>
    <col min="315" max="315" width="7.59765625" customWidth="1"/>
    <col min="316" max="316" width="5.3984375" customWidth="1"/>
    <col min="317" max="317" width="7.59765625" customWidth="1"/>
    <col min="318" max="318" width="5.3984375" bestFit="1" customWidth="1"/>
    <col min="319" max="319" width="7.59765625" customWidth="1"/>
    <col min="320" max="320" width="5.3984375" customWidth="1"/>
    <col min="321" max="321" width="7.59765625" customWidth="1"/>
    <col min="322" max="322" width="5.3984375" bestFit="1" customWidth="1"/>
    <col min="323" max="323" width="7.59765625" customWidth="1"/>
    <col min="324" max="324" width="5.3984375" customWidth="1"/>
    <col min="325" max="325" width="7.59765625" customWidth="1"/>
    <col min="326" max="326" width="5.3984375" bestFit="1" customWidth="1"/>
    <col min="328" max="329" width="5.3984375" bestFit="1" customWidth="1"/>
    <col min="330" max="330" width="2.09765625" bestFit="1" customWidth="1"/>
    <col min="481" max="481" width="4.3984375" customWidth="1"/>
    <col min="482" max="482" width="30.5" customWidth="1"/>
    <col min="485" max="485" width="10.69921875" customWidth="1"/>
    <col min="486" max="486" width="5.19921875" customWidth="1"/>
    <col min="487" max="487" width="7.59765625" customWidth="1"/>
    <col min="488" max="488" width="5.3984375" customWidth="1"/>
    <col min="489" max="489" width="7.59765625" customWidth="1"/>
    <col min="490" max="490" width="6" bestFit="1" customWidth="1"/>
    <col min="491" max="491" width="7.59765625" customWidth="1"/>
    <col min="492" max="492" width="5.3984375" customWidth="1"/>
    <col min="493" max="493" width="7.59765625" customWidth="1"/>
    <col min="494" max="494" width="5.3984375" bestFit="1" customWidth="1"/>
    <col min="495" max="495" width="7.59765625" customWidth="1"/>
    <col min="496" max="496" width="5.3984375" customWidth="1"/>
    <col min="497" max="497" width="7.59765625" customWidth="1"/>
    <col min="498" max="498" width="5.3984375" bestFit="1" customWidth="1"/>
    <col min="499" max="499" width="7.59765625" customWidth="1"/>
    <col min="500" max="500" width="5.3984375" customWidth="1"/>
    <col min="501" max="501" width="7.59765625" customWidth="1"/>
    <col min="502" max="502" width="5.3984375" bestFit="1" customWidth="1"/>
    <col min="503" max="503" width="7.59765625" customWidth="1"/>
    <col min="504" max="504" width="5.3984375" customWidth="1"/>
    <col min="505" max="505" width="7.59765625" customWidth="1"/>
    <col min="506" max="506" width="5.3984375" bestFit="1" customWidth="1"/>
    <col min="507" max="507" width="7.59765625" customWidth="1"/>
    <col min="508" max="508" width="5.3984375" customWidth="1"/>
    <col min="509" max="509" width="7.59765625" customWidth="1"/>
    <col min="510" max="510" width="5.3984375" bestFit="1" customWidth="1"/>
    <col min="511" max="511" width="7.59765625" customWidth="1"/>
    <col min="512" max="512" width="5.3984375" customWidth="1"/>
    <col min="513" max="513" width="7.59765625" customWidth="1"/>
    <col min="514" max="514" width="5.3984375" bestFit="1" customWidth="1"/>
    <col min="515" max="515" width="7.59765625" customWidth="1"/>
    <col min="516" max="516" width="5.3984375" customWidth="1"/>
    <col min="517" max="517" width="7.59765625" customWidth="1"/>
    <col min="518" max="518" width="5.3984375" bestFit="1" customWidth="1"/>
    <col min="519" max="519" width="7.59765625" customWidth="1"/>
    <col min="520" max="520" width="5.3984375" customWidth="1"/>
    <col min="521" max="521" width="7.59765625" customWidth="1"/>
    <col min="522" max="522" width="5.3984375" bestFit="1" customWidth="1"/>
    <col min="523" max="523" width="7.59765625" customWidth="1"/>
    <col min="524" max="524" width="5.3984375" customWidth="1"/>
    <col min="525" max="525" width="7.59765625" customWidth="1"/>
    <col min="526" max="526" width="5.3984375" bestFit="1" customWidth="1"/>
    <col min="527" max="527" width="7.59765625" customWidth="1"/>
    <col min="528" max="528" width="5.3984375" customWidth="1"/>
    <col min="529" max="529" width="7.59765625" customWidth="1"/>
    <col min="530" max="530" width="5.3984375" bestFit="1" customWidth="1"/>
    <col min="531" max="531" width="7.59765625" customWidth="1"/>
    <col min="532" max="532" width="5.3984375" customWidth="1"/>
    <col min="533" max="533" width="7.59765625" customWidth="1"/>
    <col min="534" max="534" width="5.3984375" bestFit="1" customWidth="1"/>
    <col min="535" max="535" width="7.59765625" customWidth="1"/>
    <col min="536" max="536" width="5.3984375" customWidth="1"/>
    <col min="537" max="537" width="7.59765625" customWidth="1"/>
    <col min="538" max="538" width="5.3984375" bestFit="1" customWidth="1"/>
    <col min="539" max="539" width="7.59765625" customWidth="1"/>
    <col min="540" max="540" width="5.3984375" customWidth="1"/>
    <col min="541" max="541" width="7.59765625" customWidth="1"/>
    <col min="542" max="542" width="5.3984375" bestFit="1" customWidth="1"/>
    <col min="543" max="543" width="7.59765625" customWidth="1"/>
    <col min="544" max="544" width="5.3984375" customWidth="1"/>
    <col min="545" max="545" width="7.59765625" customWidth="1"/>
    <col min="546" max="546" width="5.3984375" bestFit="1" customWidth="1"/>
    <col min="547" max="547" width="7.59765625" customWidth="1"/>
    <col min="548" max="548" width="5.3984375" customWidth="1"/>
    <col min="549" max="549" width="7.59765625" customWidth="1"/>
    <col min="550" max="550" width="5.3984375" bestFit="1" customWidth="1"/>
    <col min="551" max="551" width="7.59765625" customWidth="1"/>
    <col min="552" max="552" width="5.3984375" customWidth="1"/>
    <col min="553" max="553" width="7.59765625" customWidth="1"/>
    <col min="554" max="554" width="5.3984375" bestFit="1" customWidth="1"/>
    <col min="555" max="555" width="7.59765625" customWidth="1"/>
    <col min="556" max="556" width="5.3984375" customWidth="1"/>
    <col min="557" max="557" width="7.59765625" customWidth="1"/>
    <col min="558" max="558" width="5.3984375" bestFit="1" customWidth="1"/>
    <col min="559" max="559" width="7.59765625" customWidth="1"/>
    <col min="560" max="560" width="5.3984375" customWidth="1"/>
    <col min="561" max="561" width="7.59765625" customWidth="1"/>
    <col min="562" max="562" width="5.3984375" bestFit="1" customWidth="1"/>
    <col min="563" max="563" width="7.59765625" customWidth="1"/>
    <col min="564" max="564" width="5.3984375" customWidth="1"/>
    <col min="565" max="565" width="7.59765625" customWidth="1"/>
    <col min="566" max="566" width="5.3984375" bestFit="1" customWidth="1"/>
    <col min="567" max="567" width="7.59765625" customWidth="1"/>
    <col min="568" max="568" width="5.3984375" customWidth="1"/>
    <col min="569" max="569" width="7.59765625" customWidth="1"/>
    <col min="570" max="570" width="5.3984375" bestFit="1" customWidth="1"/>
    <col min="571" max="571" width="7.59765625" customWidth="1"/>
    <col min="572" max="572" width="5.3984375" customWidth="1"/>
    <col min="573" max="573" width="7.59765625" customWidth="1"/>
    <col min="574" max="574" width="5.3984375" bestFit="1" customWidth="1"/>
    <col min="575" max="575" width="7.59765625" customWidth="1"/>
    <col min="576" max="576" width="5.3984375" customWidth="1"/>
    <col min="577" max="577" width="7.59765625" customWidth="1"/>
    <col min="578" max="578" width="5.3984375" bestFit="1" customWidth="1"/>
    <col min="579" max="579" width="7.59765625" customWidth="1"/>
    <col min="580" max="580" width="5.3984375" customWidth="1"/>
    <col min="581" max="581" width="7.59765625" customWidth="1"/>
    <col min="582" max="582" width="5.3984375" bestFit="1" customWidth="1"/>
    <col min="584" max="585" width="5.3984375" bestFit="1" customWidth="1"/>
    <col min="586" max="586" width="2.09765625" bestFit="1" customWidth="1"/>
    <col min="737" max="737" width="4.3984375" customWidth="1"/>
    <col min="738" max="738" width="30.5" customWidth="1"/>
    <col min="741" max="741" width="10.69921875" customWidth="1"/>
    <col min="742" max="742" width="5.19921875" customWidth="1"/>
    <col min="743" max="743" width="7.59765625" customWidth="1"/>
    <col min="744" max="744" width="5.3984375" customWidth="1"/>
    <col min="745" max="745" width="7.59765625" customWidth="1"/>
    <col min="746" max="746" width="6" bestFit="1" customWidth="1"/>
    <col min="747" max="747" width="7.59765625" customWidth="1"/>
    <col min="748" max="748" width="5.3984375" customWidth="1"/>
    <col min="749" max="749" width="7.59765625" customWidth="1"/>
    <col min="750" max="750" width="5.3984375" bestFit="1" customWidth="1"/>
    <col min="751" max="751" width="7.59765625" customWidth="1"/>
    <col min="752" max="752" width="5.3984375" customWidth="1"/>
    <col min="753" max="753" width="7.59765625" customWidth="1"/>
    <col min="754" max="754" width="5.3984375" bestFit="1" customWidth="1"/>
    <col min="755" max="755" width="7.59765625" customWidth="1"/>
    <col min="756" max="756" width="5.3984375" customWidth="1"/>
    <col min="757" max="757" width="7.59765625" customWidth="1"/>
    <col min="758" max="758" width="5.3984375" bestFit="1" customWidth="1"/>
    <col min="759" max="759" width="7.59765625" customWidth="1"/>
    <col min="760" max="760" width="5.3984375" customWidth="1"/>
    <col min="761" max="761" width="7.59765625" customWidth="1"/>
    <col min="762" max="762" width="5.3984375" bestFit="1" customWidth="1"/>
    <col min="763" max="763" width="7.59765625" customWidth="1"/>
    <col min="764" max="764" width="5.3984375" customWidth="1"/>
    <col min="765" max="765" width="7.59765625" customWidth="1"/>
    <col min="766" max="766" width="5.3984375" bestFit="1" customWidth="1"/>
    <col min="767" max="767" width="7.59765625" customWidth="1"/>
    <col min="768" max="768" width="5.3984375" customWidth="1"/>
    <col min="769" max="769" width="7.59765625" customWidth="1"/>
    <col min="770" max="770" width="5.3984375" bestFit="1" customWidth="1"/>
    <col min="771" max="771" width="7.59765625" customWidth="1"/>
    <col min="772" max="772" width="5.3984375" customWidth="1"/>
    <col min="773" max="773" width="7.59765625" customWidth="1"/>
    <col min="774" max="774" width="5.3984375" bestFit="1" customWidth="1"/>
    <col min="775" max="775" width="7.59765625" customWidth="1"/>
    <col min="776" max="776" width="5.3984375" customWidth="1"/>
    <col min="777" max="777" width="7.59765625" customWidth="1"/>
    <col min="778" max="778" width="5.3984375" bestFit="1" customWidth="1"/>
    <col min="779" max="779" width="7.59765625" customWidth="1"/>
    <col min="780" max="780" width="5.3984375" customWidth="1"/>
    <col min="781" max="781" width="7.59765625" customWidth="1"/>
    <col min="782" max="782" width="5.3984375" bestFit="1" customWidth="1"/>
    <col min="783" max="783" width="7.59765625" customWidth="1"/>
    <col min="784" max="784" width="5.3984375" customWidth="1"/>
    <col min="785" max="785" width="7.59765625" customWidth="1"/>
    <col min="786" max="786" width="5.3984375" bestFit="1" customWidth="1"/>
    <col min="787" max="787" width="7.59765625" customWidth="1"/>
    <col min="788" max="788" width="5.3984375" customWidth="1"/>
    <col min="789" max="789" width="7.59765625" customWidth="1"/>
    <col min="790" max="790" width="5.3984375" bestFit="1" customWidth="1"/>
    <col min="791" max="791" width="7.59765625" customWidth="1"/>
    <col min="792" max="792" width="5.3984375" customWidth="1"/>
    <col min="793" max="793" width="7.59765625" customWidth="1"/>
    <col min="794" max="794" width="5.3984375" bestFit="1" customWidth="1"/>
    <col min="795" max="795" width="7.59765625" customWidth="1"/>
    <col min="796" max="796" width="5.3984375" customWidth="1"/>
    <col min="797" max="797" width="7.59765625" customWidth="1"/>
    <col min="798" max="798" width="5.3984375" bestFit="1" customWidth="1"/>
    <col min="799" max="799" width="7.59765625" customWidth="1"/>
    <col min="800" max="800" width="5.3984375" customWidth="1"/>
    <col min="801" max="801" width="7.59765625" customWidth="1"/>
    <col min="802" max="802" width="5.3984375" bestFit="1" customWidth="1"/>
    <col min="803" max="803" width="7.59765625" customWidth="1"/>
    <col min="804" max="804" width="5.3984375" customWidth="1"/>
    <col min="805" max="805" width="7.59765625" customWidth="1"/>
    <col min="806" max="806" width="5.3984375" bestFit="1" customWidth="1"/>
    <col min="807" max="807" width="7.59765625" customWidth="1"/>
    <col min="808" max="808" width="5.3984375" customWidth="1"/>
    <col min="809" max="809" width="7.59765625" customWidth="1"/>
    <col min="810" max="810" width="5.3984375" bestFit="1" customWidth="1"/>
    <col min="811" max="811" width="7.59765625" customWidth="1"/>
    <col min="812" max="812" width="5.3984375" customWidth="1"/>
    <col min="813" max="813" width="7.59765625" customWidth="1"/>
    <col min="814" max="814" width="5.3984375" bestFit="1" customWidth="1"/>
    <col min="815" max="815" width="7.59765625" customWidth="1"/>
    <col min="816" max="816" width="5.3984375" customWidth="1"/>
    <col min="817" max="817" width="7.59765625" customWidth="1"/>
    <col min="818" max="818" width="5.3984375" bestFit="1" customWidth="1"/>
    <col min="819" max="819" width="7.59765625" customWidth="1"/>
    <col min="820" max="820" width="5.3984375" customWidth="1"/>
    <col min="821" max="821" width="7.59765625" customWidth="1"/>
    <col min="822" max="822" width="5.3984375" bestFit="1" customWidth="1"/>
    <col min="823" max="823" width="7.59765625" customWidth="1"/>
    <col min="824" max="824" width="5.3984375" customWidth="1"/>
    <col min="825" max="825" width="7.59765625" customWidth="1"/>
    <col min="826" max="826" width="5.3984375" bestFit="1" customWidth="1"/>
    <col min="827" max="827" width="7.59765625" customWidth="1"/>
    <col min="828" max="828" width="5.3984375" customWidth="1"/>
    <col min="829" max="829" width="7.59765625" customWidth="1"/>
    <col min="830" max="830" width="5.3984375" bestFit="1" customWidth="1"/>
    <col min="831" max="831" width="7.59765625" customWidth="1"/>
    <col min="832" max="832" width="5.3984375" customWidth="1"/>
    <col min="833" max="833" width="7.59765625" customWidth="1"/>
    <col min="834" max="834" width="5.3984375" bestFit="1" customWidth="1"/>
    <col min="835" max="835" width="7.59765625" customWidth="1"/>
    <col min="836" max="836" width="5.3984375" customWidth="1"/>
    <col min="837" max="837" width="7.59765625" customWidth="1"/>
    <col min="838" max="838" width="5.3984375" bestFit="1" customWidth="1"/>
    <col min="840" max="841" width="5.3984375" bestFit="1" customWidth="1"/>
    <col min="842" max="842" width="2.09765625" bestFit="1" customWidth="1"/>
    <col min="993" max="993" width="4.3984375" customWidth="1"/>
    <col min="994" max="994" width="30.5" customWidth="1"/>
    <col min="997" max="997" width="10.69921875" customWidth="1"/>
    <col min="998" max="998" width="5.19921875" customWidth="1"/>
    <col min="999" max="999" width="7.59765625" customWidth="1"/>
    <col min="1000" max="1000" width="5.3984375" customWidth="1"/>
    <col min="1001" max="1001" width="7.59765625" customWidth="1"/>
    <col min="1002" max="1002" width="6" bestFit="1" customWidth="1"/>
    <col min="1003" max="1003" width="7.59765625" customWidth="1"/>
    <col min="1004" max="1004" width="5.3984375" customWidth="1"/>
    <col min="1005" max="1005" width="7.59765625" customWidth="1"/>
    <col min="1006" max="1006" width="5.3984375" bestFit="1" customWidth="1"/>
    <col min="1007" max="1007" width="7.59765625" customWidth="1"/>
    <col min="1008" max="1008" width="5.3984375" customWidth="1"/>
    <col min="1009" max="1009" width="7.59765625" customWidth="1"/>
    <col min="1010" max="1010" width="5.3984375" bestFit="1" customWidth="1"/>
    <col min="1011" max="1011" width="7.59765625" customWidth="1"/>
    <col min="1012" max="1012" width="5.3984375" customWidth="1"/>
    <col min="1013" max="1013" width="7.59765625" customWidth="1"/>
    <col min="1014" max="1014" width="5.3984375" bestFit="1" customWidth="1"/>
    <col min="1015" max="1015" width="7.59765625" customWidth="1"/>
    <col min="1016" max="1016" width="5.3984375" customWidth="1"/>
    <col min="1017" max="1017" width="7.59765625" customWidth="1"/>
    <col min="1018" max="1018" width="5.3984375" bestFit="1" customWidth="1"/>
    <col min="1019" max="1019" width="7.59765625" customWidth="1"/>
    <col min="1020" max="1020" width="5.3984375" customWidth="1"/>
    <col min="1021" max="1021" width="7.59765625" customWidth="1"/>
    <col min="1022" max="1022" width="5.3984375" bestFit="1" customWidth="1"/>
    <col min="1023" max="1023" width="7.59765625" customWidth="1"/>
    <col min="1024" max="1024" width="5.3984375" customWidth="1"/>
    <col min="1025" max="1025" width="7.59765625" customWidth="1"/>
    <col min="1026" max="1026" width="5.3984375" bestFit="1" customWidth="1"/>
    <col min="1027" max="1027" width="7.59765625" customWidth="1"/>
    <col min="1028" max="1028" width="5.3984375" customWidth="1"/>
    <col min="1029" max="1029" width="7.59765625" customWidth="1"/>
    <col min="1030" max="1030" width="5.3984375" bestFit="1" customWidth="1"/>
    <col min="1031" max="1031" width="7.59765625" customWidth="1"/>
    <col min="1032" max="1032" width="5.3984375" customWidth="1"/>
    <col min="1033" max="1033" width="7.59765625" customWidth="1"/>
    <col min="1034" max="1034" width="5.3984375" bestFit="1" customWidth="1"/>
    <col min="1035" max="1035" width="7.59765625" customWidth="1"/>
    <col min="1036" max="1036" width="5.3984375" customWidth="1"/>
    <col min="1037" max="1037" width="7.59765625" customWidth="1"/>
    <col min="1038" max="1038" width="5.3984375" bestFit="1" customWidth="1"/>
    <col min="1039" max="1039" width="7.59765625" customWidth="1"/>
    <col min="1040" max="1040" width="5.3984375" customWidth="1"/>
    <col min="1041" max="1041" width="7.59765625" customWidth="1"/>
    <col min="1042" max="1042" width="5.3984375" bestFit="1" customWidth="1"/>
    <col min="1043" max="1043" width="7.59765625" customWidth="1"/>
    <col min="1044" max="1044" width="5.3984375" customWidth="1"/>
    <col min="1045" max="1045" width="7.59765625" customWidth="1"/>
    <col min="1046" max="1046" width="5.3984375" bestFit="1" customWidth="1"/>
    <col min="1047" max="1047" width="7.59765625" customWidth="1"/>
    <col min="1048" max="1048" width="5.3984375" customWidth="1"/>
    <col min="1049" max="1049" width="7.59765625" customWidth="1"/>
    <col min="1050" max="1050" width="5.3984375" bestFit="1" customWidth="1"/>
    <col min="1051" max="1051" width="7.59765625" customWidth="1"/>
    <col min="1052" max="1052" width="5.3984375" customWidth="1"/>
    <col min="1053" max="1053" width="7.59765625" customWidth="1"/>
    <col min="1054" max="1054" width="5.3984375" bestFit="1" customWidth="1"/>
    <col min="1055" max="1055" width="7.59765625" customWidth="1"/>
    <col min="1056" max="1056" width="5.3984375" customWidth="1"/>
    <col min="1057" max="1057" width="7.59765625" customWidth="1"/>
    <col min="1058" max="1058" width="5.3984375" bestFit="1" customWidth="1"/>
    <col min="1059" max="1059" width="7.59765625" customWidth="1"/>
    <col min="1060" max="1060" width="5.3984375" customWidth="1"/>
    <col min="1061" max="1061" width="7.59765625" customWidth="1"/>
    <col min="1062" max="1062" width="5.3984375" bestFit="1" customWidth="1"/>
    <col min="1063" max="1063" width="7.59765625" customWidth="1"/>
    <col min="1064" max="1064" width="5.3984375" customWidth="1"/>
    <col min="1065" max="1065" width="7.59765625" customWidth="1"/>
    <col min="1066" max="1066" width="5.3984375" bestFit="1" customWidth="1"/>
    <col min="1067" max="1067" width="7.59765625" customWidth="1"/>
    <col min="1068" max="1068" width="5.3984375" customWidth="1"/>
    <col min="1069" max="1069" width="7.59765625" customWidth="1"/>
    <col min="1070" max="1070" width="5.3984375" bestFit="1" customWidth="1"/>
    <col min="1071" max="1071" width="7.59765625" customWidth="1"/>
    <col min="1072" max="1072" width="5.3984375" customWidth="1"/>
    <col min="1073" max="1073" width="7.59765625" customWidth="1"/>
    <col min="1074" max="1074" width="5.3984375" bestFit="1" customWidth="1"/>
    <col min="1075" max="1075" width="7.59765625" customWidth="1"/>
    <col min="1076" max="1076" width="5.3984375" customWidth="1"/>
    <col min="1077" max="1077" width="7.59765625" customWidth="1"/>
    <col min="1078" max="1078" width="5.3984375" bestFit="1" customWidth="1"/>
    <col min="1079" max="1079" width="7.59765625" customWidth="1"/>
    <col min="1080" max="1080" width="5.3984375" customWidth="1"/>
    <col min="1081" max="1081" width="7.59765625" customWidth="1"/>
    <col min="1082" max="1082" width="5.3984375" bestFit="1" customWidth="1"/>
    <col min="1083" max="1083" width="7.59765625" customWidth="1"/>
    <col min="1084" max="1084" width="5.3984375" customWidth="1"/>
    <col min="1085" max="1085" width="7.59765625" customWidth="1"/>
    <col min="1086" max="1086" width="5.3984375" bestFit="1" customWidth="1"/>
    <col min="1087" max="1087" width="7.59765625" customWidth="1"/>
    <col min="1088" max="1088" width="5.3984375" customWidth="1"/>
    <col min="1089" max="1089" width="7.59765625" customWidth="1"/>
    <col min="1090" max="1090" width="5.3984375" bestFit="1" customWidth="1"/>
    <col min="1091" max="1091" width="7.59765625" customWidth="1"/>
    <col min="1092" max="1092" width="5.3984375" customWidth="1"/>
    <col min="1093" max="1093" width="7.59765625" customWidth="1"/>
    <col min="1094" max="1094" width="5.3984375" bestFit="1" customWidth="1"/>
    <col min="1096" max="1097" width="5.3984375" bestFit="1" customWidth="1"/>
    <col min="1098" max="1098" width="2.09765625" bestFit="1" customWidth="1"/>
    <col min="1249" max="1249" width="4.3984375" customWidth="1"/>
    <col min="1250" max="1250" width="30.5" customWidth="1"/>
    <col min="1253" max="1253" width="10.69921875" customWidth="1"/>
    <col min="1254" max="1254" width="5.19921875" customWidth="1"/>
    <col min="1255" max="1255" width="7.59765625" customWidth="1"/>
    <col min="1256" max="1256" width="5.3984375" customWidth="1"/>
    <col min="1257" max="1257" width="7.59765625" customWidth="1"/>
    <col min="1258" max="1258" width="6" bestFit="1" customWidth="1"/>
    <col min="1259" max="1259" width="7.59765625" customWidth="1"/>
    <col min="1260" max="1260" width="5.3984375" customWidth="1"/>
    <col min="1261" max="1261" width="7.59765625" customWidth="1"/>
    <col min="1262" max="1262" width="5.3984375" bestFit="1" customWidth="1"/>
    <col min="1263" max="1263" width="7.59765625" customWidth="1"/>
    <col min="1264" max="1264" width="5.3984375" customWidth="1"/>
    <col min="1265" max="1265" width="7.59765625" customWidth="1"/>
    <col min="1266" max="1266" width="5.3984375" bestFit="1" customWidth="1"/>
    <col min="1267" max="1267" width="7.59765625" customWidth="1"/>
    <col min="1268" max="1268" width="5.3984375" customWidth="1"/>
    <col min="1269" max="1269" width="7.59765625" customWidth="1"/>
    <col min="1270" max="1270" width="5.3984375" bestFit="1" customWidth="1"/>
    <col min="1271" max="1271" width="7.59765625" customWidth="1"/>
    <col min="1272" max="1272" width="5.3984375" customWidth="1"/>
    <col min="1273" max="1273" width="7.59765625" customWidth="1"/>
    <col min="1274" max="1274" width="5.3984375" bestFit="1" customWidth="1"/>
    <col min="1275" max="1275" width="7.59765625" customWidth="1"/>
    <col min="1276" max="1276" width="5.3984375" customWidth="1"/>
    <col min="1277" max="1277" width="7.59765625" customWidth="1"/>
    <col min="1278" max="1278" width="5.3984375" bestFit="1" customWidth="1"/>
    <col min="1279" max="1279" width="7.59765625" customWidth="1"/>
    <col min="1280" max="1280" width="5.3984375" customWidth="1"/>
    <col min="1281" max="1281" width="7.59765625" customWidth="1"/>
    <col min="1282" max="1282" width="5.3984375" bestFit="1" customWidth="1"/>
    <col min="1283" max="1283" width="7.59765625" customWidth="1"/>
    <col min="1284" max="1284" width="5.3984375" customWidth="1"/>
    <col min="1285" max="1285" width="7.59765625" customWidth="1"/>
    <col min="1286" max="1286" width="5.3984375" bestFit="1" customWidth="1"/>
    <col min="1287" max="1287" width="7.59765625" customWidth="1"/>
    <col min="1288" max="1288" width="5.3984375" customWidth="1"/>
    <col min="1289" max="1289" width="7.59765625" customWidth="1"/>
    <col min="1290" max="1290" width="5.3984375" bestFit="1" customWidth="1"/>
    <col min="1291" max="1291" width="7.59765625" customWidth="1"/>
    <col min="1292" max="1292" width="5.3984375" customWidth="1"/>
    <col min="1293" max="1293" width="7.59765625" customWidth="1"/>
    <col min="1294" max="1294" width="5.3984375" bestFit="1" customWidth="1"/>
    <col min="1295" max="1295" width="7.59765625" customWidth="1"/>
    <col min="1296" max="1296" width="5.3984375" customWidth="1"/>
    <col min="1297" max="1297" width="7.59765625" customWidth="1"/>
    <col min="1298" max="1298" width="5.3984375" bestFit="1" customWidth="1"/>
    <col min="1299" max="1299" width="7.59765625" customWidth="1"/>
    <col min="1300" max="1300" width="5.3984375" customWidth="1"/>
    <col min="1301" max="1301" width="7.59765625" customWidth="1"/>
    <col min="1302" max="1302" width="5.3984375" bestFit="1" customWidth="1"/>
    <col min="1303" max="1303" width="7.59765625" customWidth="1"/>
    <col min="1304" max="1304" width="5.3984375" customWidth="1"/>
    <col min="1305" max="1305" width="7.59765625" customWidth="1"/>
    <col min="1306" max="1306" width="5.3984375" bestFit="1" customWidth="1"/>
    <col min="1307" max="1307" width="7.59765625" customWidth="1"/>
    <col min="1308" max="1308" width="5.3984375" customWidth="1"/>
    <col min="1309" max="1309" width="7.59765625" customWidth="1"/>
    <col min="1310" max="1310" width="5.3984375" bestFit="1" customWidth="1"/>
    <col min="1311" max="1311" width="7.59765625" customWidth="1"/>
    <col min="1312" max="1312" width="5.3984375" customWidth="1"/>
    <col min="1313" max="1313" width="7.59765625" customWidth="1"/>
    <col min="1314" max="1314" width="5.3984375" bestFit="1" customWidth="1"/>
    <col min="1315" max="1315" width="7.59765625" customWidth="1"/>
    <col min="1316" max="1316" width="5.3984375" customWidth="1"/>
    <col min="1317" max="1317" width="7.59765625" customWidth="1"/>
    <col min="1318" max="1318" width="5.3984375" bestFit="1" customWidth="1"/>
    <col min="1319" max="1319" width="7.59765625" customWidth="1"/>
    <col min="1320" max="1320" width="5.3984375" customWidth="1"/>
    <col min="1321" max="1321" width="7.59765625" customWidth="1"/>
    <col min="1322" max="1322" width="5.3984375" bestFit="1" customWidth="1"/>
    <col min="1323" max="1323" width="7.59765625" customWidth="1"/>
    <col min="1324" max="1324" width="5.3984375" customWidth="1"/>
    <col min="1325" max="1325" width="7.59765625" customWidth="1"/>
    <col min="1326" max="1326" width="5.3984375" bestFit="1" customWidth="1"/>
    <col min="1327" max="1327" width="7.59765625" customWidth="1"/>
    <col min="1328" max="1328" width="5.3984375" customWidth="1"/>
    <col min="1329" max="1329" width="7.59765625" customWidth="1"/>
    <col min="1330" max="1330" width="5.3984375" bestFit="1" customWidth="1"/>
    <col min="1331" max="1331" width="7.59765625" customWidth="1"/>
    <col min="1332" max="1332" width="5.3984375" customWidth="1"/>
    <col min="1333" max="1333" width="7.59765625" customWidth="1"/>
    <col min="1334" max="1334" width="5.3984375" bestFit="1" customWidth="1"/>
    <col min="1335" max="1335" width="7.59765625" customWidth="1"/>
    <col min="1336" max="1336" width="5.3984375" customWidth="1"/>
    <col min="1337" max="1337" width="7.59765625" customWidth="1"/>
    <col min="1338" max="1338" width="5.3984375" bestFit="1" customWidth="1"/>
    <col min="1339" max="1339" width="7.59765625" customWidth="1"/>
    <col min="1340" max="1340" width="5.3984375" customWidth="1"/>
    <col min="1341" max="1341" width="7.59765625" customWidth="1"/>
    <col min="1342" max="1342" width="5.3984375" bestFit="1" customWidth="1"/>
    <col min="1343" max="1343" width="7.59765625" customWidth="1"/>
    <col min="1344" max="1344" width="5.3984375" customWidth="1"/>
    <col min="1345" max="1345" width="7.59765625" customWidth="1"/>
    <col min="1346" max="1346" width="5.3984375" bestFit="1" customWidth="1"/>
    <col min="1347" max="1347" width="7.59765625" customWidth="1"/>
    <col min="1348" max="1348" width="5.3984375" customWidth="1"/>
    <col min="1349" max="1349" width="7.59765625" customWidth="1"/>
    <col min="1350" max="1350" width="5.3984375" bestFit="1" customWidth="1"/>
    <col min="1352" max="1353" width="5.3984375" bestFit="1" customWidth="1"/>
    <col min="1354" max="1354" width="2.09765625" bestFit="1" customWidth="1"/>
    <col min="1505" max="1505" width="4.3984375" customWidth="1"/>
    <col min="1506" max="1506" width="30.5" customWidth="1"/>
    <col min="1509" max="1509" width="10.69921875" customWidth="1"/>
    <col min="1510" max="1510" width="5.19921875" customWidth="1"/>
    <col min="1511" max="1511" width="7.59765625" customWidth="1"/>
    <col min="1512" max="1512" width="5.3984375" customWidth="1"/>
    <col min="1513" max="1513" width="7.59765625" customWidth="1"/>
    <col min="1514" max="1514" width="6" bestFit="1" customWidth="1"/>
    <col min="1515" max="1515" width="7.59765625" customWidth="1"/>
    <col min="1516" max="1516" width="5.3984375" customWidth="1"/>
    <col min="1517" max="1517" width="7.59765625" customWidth="1"/>
    <col min="1518" max="1518" width="5.3984375" bestFit="1" customWidth="1"/>
    <col min="1519" max="1519" width="7.59765625" customWidth="1"/>
    <col min="1520" max="1520" width="5.3984375" customWidth="1"/>
    <col min="1521" max="1521" width="7.59765625" customWidth="1"/>
    <col min="1522" max="1522" width="5.3984375" bestFit="1" customWidth="1"/>
    <col min="1523" max="1523" width="7.59765625" customWidth="1"/>
    <col min="1524" max="1524" width="5.3984375" customWidth="1"/>
    <col min="1525" max="1525" width="7.59765625" customWidth="1"/>
    <col min="1526" max="1526" width="5.3984375" bestFit="1" customWidth="1"/>
    <col min="1527" max="1527" width="7.59765625" customWidth="1"/>
    <col min="1528" max="1528" width="5.3984375" customWidth="1"/>
    <col min="1529" max="1529" width="7.59765625" customWidth="1"/>
    <col min="1530" max="1530" width="5.3984375" bestFit="1" customWidth="1"/>
    <col min="1531" max="1531" width="7.59765625" customWidth="1"/>
    <col min="1532" max="1532" width="5.3984375" customWidth="1"/>
    <col min="1533" max="1533" width="7.59765625" customWidth="1"/>
    <col min="1534" max="1534" width="5.3984375" bestFit="1" customWidth="1"/>
    <col min="1535" max="1535" width="7.59765625" customWidth="1"/>
    <col min="1536" max="1536" width="5.3984375" customWidth="1"/>
    <col min="1537" max="1537" width="7.59765625" customWidth="1"/>
    <col min="1538" max="1538" width="5.3984375" bestFit="1" customWidth="1"/>
    <col min="1539" max="1539" width="7.59765625" customWidth="1"/>
    <col min="1540" max="1540" width="5.3984375" customWidth="1"/>
    <col min="1541" max="1541" width="7.59765625" customWidth="1"/>
    <col min="1542" max="1542" width="5.3984375" bestFit="1" customWidth="1"/>
    <col min="1543" max="1543" width="7.59765625" customWidth="1"/>
    <col min="1544" max="1544" width="5.3984375" customWidth="1"/>
    <col min="1545" max="1545" width="7.59765625" customWidth="1"/>
    <col min="1546" max="1546" width="5.3984375" bestFit="1" customWidth="1"/>
    <col min="1547" max="1547" width="7.59765625" customWidth="1"/>
    <col min="1548" max="1548" width="5.3984375" customWidth="1"/>
    <col min="1549" max="1549" width="7.59765625" customWidth="1"/>
    <col min="1550" max="1550" width="5.3984375" bestFit="1" customWidth="1"/>
    <col min="1551" max="1551" width="7.59765625" customWidth="1"/>
    <col min="1552" max="1552" width="5.3984375" customWidth="1"/>
    <col min="1553" max="1553" width="7.59765625" customWidth="1"/>
    <col min="1554" max="1554" width="5.3984375" bestFit="1" customWidth="1"/>
    <col min="1555" max="1555" width="7.59765625" customWidth="1"/>
    <col min="1556" max="1556" width="5.3984375" customWidth="1"/>
    <col min="1557" max="1557" width="7.59765625" customWidth="1"/>
    <col min="1558" max="1558" width="5.3984375" bestFit="1" customWidth="1"/>
    <col min="1559" max="1559" width="7.59765625" customWidth="1"/>
    <col min="1560" max="1560" width="5.3984375" customWidth="1"/>
    <col min="1561" max="1561" width="7.59765625" customWidth="1"/>
    <col min="1562" max="1562" width="5.3984375" bestFit="1" customWidth="1"/>
    <col min="1563" max="1563" width="7.59765625" customWidth="1"/>
    <col min="1564" max="1564" width="5.3984375" customWidth="1"/>
    <col min="1565" max="1565" width="7.59765625" customWidth="1"/>
    <col min="1566" max="1566" width="5.3984375" bestFit="1" customWidth="1"/>
    <col min="1567" max="1567" width="7.59765625" customWidth="1"/>
    <col min="1568" max="1568" width="5.3984375" customWidth="1"/>
    <col min="1569" max="1569" width="7.59765625" customWidth="1"/>
    <col min="1570" max="1570" width="5.3984375" bestFit="1" customWidth="1"/>
    <col min="1571" max="1571" width="7.59765625" customWidth="1"/>
    <col min="1572" max="1572" width="5.3984375" customWidth="1"/>
    <col min="1573" max="1573" width="7.59765625" customWidth="1"/>
    <col min="1574" max="1574" width="5.3984375" bestFit="1" customWidth="1"/>
    <col min="1575" max="1575" width="7.59765625" customWidth="1"/>
    <col min="1576" max="1576" width="5.3984375" customWidth="1"/>
    <col min="1577" max="1577" width="7.59765625" customWidth="1"/>
    <col min="1578" max="1578" width="5.3984375" bestFit="1" customWidth="1"/>
    <col min="1579" max="1579" width="7.59765625" customWidth="1"/>
    <col min="1580" max="1580" width="5.3984375" customWidth="1"/>
    <col min="1581" max="1581" width="7.59765625" customWidth="1"/>
    <col min="1582" max="1582" width="5.3984375" bestFit="1" customWidth="1"/>
    <col min="1583" max="1583" width="7.59765625" customWidth="1"/>
    <col min="1584" max="1584" width="5.3984375" customWidth="1"/>
    <col min="1585" max="1585" width="7.59765625" customWidth="1"/>
    <col min="1586" max="1586" width="5.3984375" bestFit="1" customWidth="1"/>
    <col min="1587" max="1587" width="7.59765625" customWidth="1"/>
    <col min="1588" max="1588" width="5.3984375" customWidth="1"/>
    <col min="1589" max="1589" width="7.59765625" customWidth="1"/>
    <col min="1590" max="1590" width="5.3984375" bestFit="1" customWidth="1"/>
    <col min="1591" max="1591" width="7.59765625" customWidth="1"/>
    <col min="1592" max="1592" width="5.3984375" customWidth="1"/>
    <col min="1593" max="1593" width="7.59765625" customWidth="1"/>
    <col min="1594" max="1594" width="5.3984375" bestFit="1" customWidth="1"/>
    <col min="1595" max="1595" width="7.59765625" customWidth="1"/>
    <col min="1596" max="1596" width="5.3984375" customWidth="1"/>
    <col min="1597" max="1597" width="7.59765625" customWidth="1"/>
    <col min="1598" max="1598" width="5.3984375" bestFit="1" customWidth="1"/>
    <col min="1599" max="1599" width="7.59765625" customWidth="1"/>
    <col min="1600" max="1600" width="5.3984375" customWidth="1"/>
    <col min="1601" max="1601" width="7.59765625" customWidth="1"/>
    <col min="1602" max="1602" width="5.3984375" bestFit="1" customWidth="1"/>
    <col min="1603" max="1603" width="7.59765625" customWidth="1"/>
    <col min="1604" max="1604" width="5.3984375" customWidth="1"/>
    <col min="1605" max="1605" width="7.59765625" customWidth="1"/>
    <col min="1606" max="1606" width="5.3984375" bestFit="1" customWidth="1"/>
    <col min="1608" max="1609" width="5.3984375" bestFit="1" customWidth="1"/>
    <col min="1610" max="1610" width="2.09765625" bestFit="1" customWidth="1"/>
    <col min="1761" max="1761" width="4.3984375" customWidth="1"/>
    <col min="1762" max="1762" width="30.5" customWidth="1"/>
    <col min="1765" max="1765" width="10.69921875" customWidth="1"/>
    <col min="1766" max="1766" width="5.19921875" customWidth="1"/>
    <col min="1767" max="1767" width="7.59765625" customWidth="1"/>
    <col min="1768" max="1768" width="5.3984375" customWidth="1"/>
    <col min="1769" max="1769" width="7.59765625" customWidth="1"/>
    <col min="1770" max="1770" width="6" bestFit="1" customWidth="1"/>
    <col min="1771" max="1771" width="7.59765625" customWidth="1"/>
    <col min="1772" max="1772" width="5.3984375" customWidth="1"/>
    <col min="1773" max="1773" width="7.59765625" customWidth="1"/>
    <col min="1774" max="1774" width="5.3984375" bestFit="1" customWidth="1"/>
    <col min="1775" max="1775" width="7.59765625" customWidth="1"/>
    <col min="1776" max="1776" width="5.3984375" customWidth="1"/>
    <col min="1777" max="1777" width="7.59765625" customWidth="1"/>
    <col min="1778" max="1778" width="5.3984375" bestFit="1" customWidth="1"/>
    <col min="1779" max="1779" width="7.59765625" customWidth="1"/>
    <col min="1780" max="1780" width="5.3984375" customWidth="1"/>
    <col min="1781" max="1781" width="7.59765625" customWidth="1"/>
    <col min="1782" max="1782" width="5.3984375" bestFit="1" customWidth="1"/>
    <col min="1783" max="1783" width="7.59765625" customWidth="1"/>
    <col min="1784" max="1784" width="5.3984375" customWidth="1"/>
    <col min="1785" max="1785" width="7.59765625" customWidth="1"/>
    <col min="1786" max="1786" width="5.3984375" bestFit="1" customWidth="1"/>
    <col min="1787" max="1787" width="7.59765625" customWidth="1"/>
    <col min="1788" max="1788" width="5.3984375" customWidth="1"/>
    <col min="1789" max="1789" width="7.59765625" customWidth="1"/>
    <col min="1790" max="1790" width="5.3984375" bestFit="1" customWidth="1"/>
    <col min="1791" max="1791" width="7.59765625" customWidth="1"/>
    <col min="1792" max="1792" width="5.3984375" customWidth="1"/>
    <col min="1793" max="1793" width="7.59765625" customWidth="1"/>
    <col min="1794" max="1794" width="5.3984375" bestFit="1" customWidth="1"/>
    <col min="1795" max="1795" width="7.59765625" customWidth="1"/>
    <col min="1796" max="1796" width="5.3984375" customWidth="1"/>
    <col min="1797" max="1797" width="7.59765625" customWidth="1"/>
    <col min="1798" max="1798" width="5.3984375" bestFit="1" customWidth="1"/>
    <col min="1799" max="1799" width="7.59765625" customWidth="1"/>
    <col min="1800" max="1800" width="5.3984375" customWidth="1"/>
    <col min="1801" max="1801" width="7.59765625" customWidth="1"/>
    <col min="1802" max="1802" width="5.3984375" bestFit="1" customWidth="1"/>
    <col min="1803" max="1803" width="7.59765625" customWidth="1"/>
    <col min="1804" max="1804" width="5.3984375" customWidth="1"/>
    <col min="1805" max="1805" width="7.59765625" customWidth="1"/>
    <col min="1806" max="1806" width="5.3984375" bestFit="1" customWidth="1"/>
    <col min="1807" max="1807" width="7.59765625" customWidth="1"/>
    <col min="1808" max="1808" width="5.3984375" customWidth="1"/>
    <col min="1809" max="1809" width="7.59765625" customWidth="1"/>
    <col min="1810" max="1810" width="5.3984375" bestFit="1" customWidth="1"/>
    <col min="1811" max="1811" width="7.59765625" customWidth="1"/>
    <col min="1812" max="1812" width="5.3984375" customWidth="1"/>
    <col min="1813" max="1813" width="7.59765625" customWidth="1"/>
    <col min="1814" max="1814" width="5.3984375" bestFit="1" customWidth="1"/>
    <col min="1815" max="1815" width="7.59765625" customWidth="1"/>
    <col min="1816" max="1816" width="5.3984375" customWidth="1"/>
    <col min="1817" max="1817" width="7.59765625" customWidth="1"/>
    <col min="1818" max="1818" width="5.3984375" bestFit="1" customWidth="1"/>
    <col min="1819" max="1819" width="7.59765625" customWidth="1"/>
    <col min="1820" max="1820" width="5.3984375" customWidth="1"/>
    <col min="1821" max="1821" width="7.59765625" customWidth="1"/>
    <col min="1822" max="1822" width="5.3984375" bestFit="1" customWidth="1"/>
    <col min="1823" max="1823" width="7.59765625" customWidth="1"/>
    <col min="1824" max="1824" width="5.3984375" customWidth="1"/>
    <col min="1825" max="1825" width="7.59765625" customWidth="1"/>
    <col min="1826" max="1826" width="5.3984375" bestFit="1" customWidth="1"/>
    <col min="1827" max="1827" width="7.59765625" customWidth="1"/>
    <col min="1828" max="1828" width="5.3984375" customWidth="1"/>
    <col min="1829" max="1829" width="7.59765625" customWidth="1"/>
    <col min="1830" max="1830" width="5.3984375" bestFit="1" customWidth="1"/>
    <col min="1831" max="1831" width="7.59765625" customWidth="1"/>
    <col min="1832" max="1832" width="5.3984375" customWidth="1"/>
    <col min="1833" max="1833" width="7.59765625" customWidth="1"/>
    <col min="1834" max="1834" width="5.3984375" bestFit="1" customWidth="1"/>
    <col min="1835" max="1835" width="7.59765625" customWidth="1"/>
    <col min="1836" max="1836" width="5.3984375" customWidth="1"/>
    <col min="1837" max="1837" width="7.59765625" customWidth="1"/>
    <col min="1838" max="1838" width="5.3984375" bestFit="1" customWidth="1"/>
    <col min="1839" max="1839" width="7.59765625" customWidth="1"/>
    <col min="1840" max="1840" width="5.3984375" customWidth="1"/>
    <col min="1841" max="1841" width="7.59765625" customWidth="1"/>
    <col min="1842" max="1842" width="5.3984375" bestFit="1" customWidth="1"/>
    <col min="1843" max="1843" width="7.59765625" customWidth="1"/>
    <col min="1844" max="1844" width="5.3984375" customWidth="1"/>
    <col min="1845" max="1845" width="7.59765625" customWidth="1"/>
    <col min="1846" max="1846" width="5.3984375" bestFit="1" customWidth="1"/>
    <col min="1847" max="1847" width="7.59765625" customWidth="1"/>
    <col min="1848" max="1848" width="5.3984375" customWidth="1"/>
    <col min="1849" max="1849" width="7.59765625" customWidth="1"/>
    <col min="1850" max="1850" width="5.3984375" bestFit="1" customWidth="1"/>
    <col min="1851" max="1851" width="7.59765625" customWidth="1"/>
    <col min="1852" max="1852" width="5.3984375" customWidth="1"/>
    <col min="1853" max="1853" width="7.59765625" customWidth="1"/>
    <col min="1854" max="1854" width="5.3984375" bestFit="1" customWidth="1"/>
    <col min="1855" max="1855" width="7.59765625" customWidth="1"/>
    <col min="1856" max="1856" width="5.3984375" customWidth="1"/>
    <col min="1857" max="1857" width="7.59765625" customWidth="1"/>
    <col min="1858" max="1858" width="5.3984375" bestFit="1" customWidth="1"/>
    <col min="1859" max="1859" width="7.59765625" customWidth="1"/>
    <col min="1860" max="1860" width="5.3984375" customWidth="1"/>
    <col min="1861" max="1861" width="7.59765625" customWidth="1"/>
    <col min="1862" max="1862" width="5.3984375" bestFit="1" customWidth="1"/>
    <col min="1864" max="1865" width="5.3984375" bestFit="1" customWidth="1"/>
    <col min="1866" max="1866" width="2.09765625" bestFit="1" customWidth="1"/>
    <col min="2017" max="2017" width="4.3984375" customWidth="1"/>
    <col min="2018" max="2018" width="30.5" customWidth="1"/>
    <col min="2021" max="2021" width="10.69921875" customWidth="1"/>
    <col min="2022" max="2022" width="5.19921875" customWidth="1"/>
    <col min="2023" max="2023" width="7.59765625" customWidth="1"/>
    <col min="2024" max="2024" width="5.3984375" customWidth="1"/>
    <col min="2025" max="2025" width="7.59765625" customWidth="1"/>
    <col min="2026" max="2026" width="6" bestFit="1" customWidth="1"/>
    <col min="2027" max="2027" width="7.59765625" customWidth="1"/>
    <col min="2028" max="2028" width="5.3984375" customWidth="1"/>
    <col min="2029" max="2029" width="7.59765625" customWidth="1"/>
    <col min="2030" max="2030" width="5.3984375" bestFit="1" customWidth="1"/>
    <col min="2031" max="2031" width="7.59765625" customWidth="1"/>
    <col min="2032" max="2032" width="5.3984375" customWidth="1"/>
    <col min="2033" max="2033" width="7.59765625" customWidth="1"/>
    <col min="2034" max="2034" width="5.3984375" bestFit="1" customWidth="1"/>
    <col min="2035" max="2035" width="7.59765625" customWidth="1"/>
    <col min="2036" max="2036" width="5.3984375" customWidth="1"/>
    <col min="2037" max="2037" width="7.59765625" customWidth="1"/>
    <col min="2038" max="2038" width="5.3984375" bestFit="1" customWidth="1"/>
    <col min="2039" max="2039" width="7.59765625" customWidth="1"/>
    <col min="2040" max="2040" width="5.3984375" customWidth="1"/>
    <col min="2041" max="2041" width="7.59765625" customWidth="1"/>
    <col min="2042" max="2042" width="5.3984375" bestFit="1" customWidth="1"/>
    <col min="2043" max="2043" width="7.59765625" customWidth="1"/>
    <col min="2044" max="2044" width="5.3984375" customWidth="1"/>
    <col min="2045" max="2045" width="7.59765625" customWidth="1"/>
    <col min="2046" max="2046" width="5.3984375" bestFit="1" customWidth="1"/>
    <col min="2047" max="2047" width="7.59765625" customWidth="1"/>
    <col min="2048" max="2048" width="5.3984375" customWidth="1"/>
    <col min="2049" max="2049" width="7.59765625" customWidth="1"/>
    <col min="2050" max="2050" width="5.3984375" bestFit="1" customWidth="1"/>
    <col min="2051" max="2051" width="7.59765625" customWidth="1"/>
    <col min="2052" max="2052" width="5.3984375" customWidth="1"/>
    <col min="2053" max="2053" width="7.59765625" customWidth="1"/>
    <col min="2054" max="2054" width="5.3984375" bestFit="1" customWidth="1"/>
    <col min="2055" max="2055" width="7.59765625" customWidth="1"/>
    <col min="2056" max="2056" width="5.3984375" customWidth="1"/>
    <col min="2057" max="2057" width="7.59765625" customWidth="1"/>
    <col min="2058" max="2058" width="5.3984375" bestFit="1" customWidth="1"/>
    <col min="2059" max="2059" width="7.59765625" customWidth="1"/>
    <col min="2060" max="2060" width="5.3984375" customWidth="1"/>
    <col min="2061" max="2061" width="7.59765625" customWidth="1"/>
    <col min="2062" max="2062" width="5.3984375" bestFit="1" customWidth="1"/>
    <col min="2063" max="2063" width="7.59765625" customWidth="1"/>
    <col min="2064" max="2064" width="5.3984375" customWidth="1"/>
    <col min="2065" max="2065" width="7.59765625" customWidth="1"/>
    <col min="2066" max="2066" width="5.3984375" bestFit="1" customWidth="1"/>
    <col min="2067" max="2067" width="7.59765625" customWidth="1"/>
    <col min="2068" max="2068" width="5.3984375" customWidth="1"/>
    <col min="2069" max="2069" width="7.59765625" customWidth="1"/>
    <col min="2070" max="2070" width="5.3984375" bestFit="1" customWidth="1"/>
    <col min="2071" max="2071" width="7.59765625" customWidth="1"/>
    <col min="2072" max="2072" width="5.3984375" customWidth="1"/>
    <col min="2073" max="2073" width="7.59765625" customWidth="1"/>
    <col min="2074" max="2074" width="5.3984375" bestFit="1" customWidth="1"/>
    <col min="2075" max="2075" width="7.59765625" customWidth="1"/>
    <col min="2076" max="2076" width="5.3984375" customWidth="1"/>
    <col min="2077" max="2077" width="7.59765625" customWidth="1"/>
    <col min="2078" max="2078" width="5.3984375" bestFit="1" customWidth="1"/>
    <col min="2079" max="2079" width="7.59765625" customWidth="1"/>
    <col min="2080" max="2080" width="5.3984375" customWidth="1"/>
    <col min="2081" max="2081" width="7.59765625" customWidth="1"/>
    <col min="2082" max="2082" width="5.3984375" bestFit="1" customWidth="1"/>
    <col min="2083" max="2083" width="7.59765625" customWidth="1"/>
    <col min="2084" max="2084" width="5.3984375" customWidth="1"/>
    <col min="2085" max="2085" width="7.59765625" customWidth="1"/>
    <col min="2086" max="2086" width="5.3984375" bestFit="1" customWidth="1"/>
    <col min="2087" max="2087" width="7.59765625" customWidth="1"/>
    <col min="2088" max="2088" width="5.3984375" customWidth="1"/>
    <col min="2089" max="2089" width="7.59765625" customWidth="1"/>
    <col min="2090" max="2090" width="5.3984375" bestFit="1" customWidth="1"/>
    <col min="2091" max="2091" width="7.59765625" customWidth="1"/>
    <col min="2092" max="2092" width="5.3984375" customWidth="1"/>
    <col min="2093" max="2093" width="7.59765625" customWidth="1"/>
    <col min="2094" max="2094" width="5.3984375" bestFit="1" customWidth="1"/>
    <col min="2095" max="2095" width="7.59765625" customWidth="1"/>
    <col min="2096" max="2096" width="5.3984375" customWidth="1"/>
    <col min="2097" max="2097" width="7.59765625" customWidth="1"/>
    <col min="2098" max="2098" width="5.3984375" bestFit="1" customWidth="1"/>
    <col min="2099" max="2099" width="7.59765625" customWidth="1"/>
    <col min="2100" max="2100" width="5.3984375" customWidth="1"/>
    <col min="2101" max="2101" width="7.59765625" customWidth="1"/>
    <col min="2102" max="2102" width="5.3984375" bestFit="1" customWidth="1"/>
    <col min="2103" max="2103" width="7.59765625" customWidth="1"/>
    <col min="2104" max="2104" width="5.3984375" customWidth="1"/>
    <col min="2105" max="2105" width="7.59765625" customWidth="1"/>
    <col min="2106" max="2106" width="5.3984375" bestFit="1" customWidth="1"/>
    <col min="2107" max="2107" width="7.59765625" customWidth="1"/>
    <col min="2108" max="2108" width="5.3984375" customWidth="1"/>
    <col min="2109" max="2109" width="7.59765625" customWidth="1"/>
    <col min="2110" max="2110" width="5.3984375" bestFit="1" customWidth="1"/>
    <col min="2111" max="2111" width="7.59765625" customWidth="1"/>
    <col min="2112" max="2112" width="5.3984375" customWidth="1"/>
    <col min="2113" max="2113" width="7.59765625" customWidth="1"/>
    <col min="2114" max="2114" width="5.3984375" bestFit="1" customWidth="1"/>
    <col min="2115" max="2115" width="7.59765625" customWidth="1"/>
    <col min="2116" max="2116" width="5.3984375" customWidth="1"/>
    <col min="2117" max="2117" width="7.59765625" customWidth="1"/>
    <col min="2118" max="2118" width="5.3984375" bestFit="1" customWidth="1"/>
    <col min="2120" max="2121" width="5.3984375" bestFit="1" customWidth="1"/>
    <col min="2122" max="2122" width="2.09765625" bestFit="1" customWidth="1"/>
    <col min="2273" max="2273" width="4.3984375" customWidth="1"/>
    <col min="2274" max="2274" width="30.5" customWidth="1"/>
    <col min="2277" max="2277" width="10.69921875" customWidth="1"/>
    <col min="2278" max="2278" width="5.19921875" customWidth="1"/>
    <col min="2279" max="2279" width="7.59765625" customWidth="1"/>
    <col min="2280" max="2280" width="5.3984375" customWidth="1"/>
    <col min="2281" max="2281" width="7.59765625" customWidth="1"/>
    <col min="2282" max="2282" width="6" bestFit="1" customWidth="1"/>
    <col min="2283" max="2283" width="7.59765625" customWidth="1"/>
    <col min="2284" max="2284" width="5.3984375" customWidth="1"/>
    <col min="2285" max="2285" width="7.59765625" customWidth="1"/>
    <col min="2286" max="2286" width="5.3984375" bestFit="1" customWidth="1"/>
    <col min="2287" max="2287" width="7.59765625" customWidth="1"/>
    <col min="2288" max="2288" width="5.3984375" customWidth="1"/>
    <col min="2289" max="2289" width="7.59765625" customWidth="1"/>
    <col min="2290" max="2290" width="5.3984375" bestFit="1" customWidth="1"/>
    <col min="2291" max="2291" width="7.59765625" customWidth="1"/>
    <col min="2292" max="2292" width="5.3984375" customWidth="1"/>
    <col min="2293" max="2293" width="7.59765625" customWidth="1"/>
    <col min="2294" max="2294" width="5.3984375" bestFit="1" customWidth="1"/>
    <col min="2295" max="2295" width="7.59765625" customWidth="1"/>
    <col min="2296" max="2296" width="5.3984375" customWidth="1"/>
    <col min="2297" max="2297" width="7.59765625" customWidth="1"/>
    <col min="2298" max="2298" width="5.3984375" bestFit="1" customWidth="1"/>
    <col min="2299" max="2299" width="7.59765625" customWidth="1"/>
    <col min="2300" max="2300" width="5.3984375" customWidth="1"/>
    <col min="2301" max="2301" width="7.59765625" customWidth="1"/>
    <col min="2302" max="2302" width="5.3984375" bestFit="1" customWidth="1"/>
    <col min="2303" max="2303" width="7.59765625" customWidth="1"/>
    <col min="2304" max="2304" width="5.3984375" customWidth="1"/>
    <col min="2305" max="2305" width="7.59765625" customWidth="1"/>
    <col min="2306" max="2306" width="5.3984375" bestFit="1" customWidth="1"/>
    <col min="2307" max="2307" width="7.59765625" customWidth="1"/>
    <col min="2308" max="2308" width="5.3984375" customWidth="1"/>
    <col min="2309" max="2309" width="7.59765625" customWidth="1"/>
    <col min="2310" max="2310" width="5.3984375" bestFit="1" customWidth="1"/>
    <col min="2311" max="2311" width="7.59765625" customWidth="1"/>
    <col min="2312" max="2312" width="5.3984375" customWidth="1"/>
    <col min="2313" max="2313" width="7.59765625" customWidth="1"/>
    <col min="2314" max="2314" width="5.3984375" bestFit="1" customWidth="1"/>
    <col min="2315" max="2315" width="7.59765625" customWidth="1"/>
    <col min="2316" max="2316" width="5.3984375" customWidth="1"/>
    <col min="2317" max="2317" width="7.59765625" customWidth="1"/>
    <col min="2318" max="2318" width="5.3984375" bestFit="1" customWidth="1"/>
    <col min="2319" max="2319" width="7.59765625" customWidth="1"/>
    <col min="2320" max="2320" width="5.3984375" customWidth="1"/>
    <col min="2321" max="2321" width="7.59765625" customWidth="1"/>
    <col min="2322" max="2322" width="5.3984375" bestFit="1" customWidth="1"/>
    <col min="2323" max="2323" width="7.59765625" customWidth="1"/>
    <col min="2324" max="2324" width="5.3984375" customWidth="1"/>
    <col min="2325" max="2325" width="7.59765625" customWidth="1"/>
    <col min="2326" max="2326" width="5.3984375" bestFit="1" customWidth="1"/>
    <col min="2327" max="2327" width="7.59765625" customWidth="1"/>
    <col min="2328" max="2328" width="5.3984375" customWidth="1"/>
    <col min="2329" max="2329" width="7.59765625" customWidth="1"/>
    <col min="2330" max="2330" width="5.3984375" bestFit="1" customWidth="1"/>
    <col min="2331" max="2331" width="7.59765625" customWidth="1"/>
    <col min="2332" max="2332" width="5.3984375" customWidth="1"/>
    <col min="2333" max="2333" width="7.59765625" customWidth="1"/>
    <col min="2334" max="2334" width="5.3984375" bestFit="1" customWidth="1"/>
    <col min="2335" max="2335" width="7.59765625" customWidth="1"/>
    <col min="2336" max="2336" width="5.3984375" customWidth="1"/>
    <col min="2337" max="2337" width="7.59765625" customWidth="1"/>
    <col min="2338" max="2338" width="5.3984375" bestFit="1" customWidth="1"/>
    <col min="2339" max="2339" width="7.59765625" customWidth="1"/>
    <col min="2340" max="2340" width="5.3984375" customWidth="1"/>
    <col min="2341" max="2341" width="7.59765625" customWidth="1"/>
    <col min="2342" max="2342" width="5.3984375" bestFit="1" customWidth="1"/>
    <col min="2343" max="2343" width="7.59765625" customWidth="1"/>
    <col min="2344" max="2344" width="5.3984375" customWidth="1"/>
    <col min="2345" max="2345" width="7.59765625" customWidth="1"/>
    <col min="2346" max="2346" width="5.3984375" bestFit="1" customWidth="1"/>
    <col min="2347" max="2347" width="7.59765625" customWidth="1"/>
    <col min="2348" max="2348" width="5.3984375" customWidth="1"/>
    <col min="2349" max="2349" width="7.59765625" customWidth="1"/>
    <col min="2350" max="2350" width="5.3984375" bestFit="1" customWidth="1"/>
    <col min="2351" max="2351" width="7.59765625" customWidth="1"/>
    <col min="2352" max="2352" width="5.3984375" customWidth="1"/>
    <col min="2353" max="2353" width="7.59765625" customWidth="1"/>
    <col min="2354" max="2354" width="5.3984375" bestFit="1" customWidth="1"/>
    <col min="2355" max="2355" width="7.59765625" customWidth="1"/>
    <col min="2356" max="2356" width="5.3984375" customWidth="1"/>
    <col min="2357" max="2357" width="7.59765625" customWidth="1"/>
    <col min="2358" max="2358" width="5.3984375" bestFit="1" customWidth="1"/>
    <col min="2359" max="2359" width="7.59765625" customWidth="1"/>
    <col min="2360" max="2360" width="5.3984375" customWidth="1"/>
    <col min="2361" max="2361" width="7.59765625" customWidth="1"/>
    <col min="2362" max="2362" width="5.3984375" bestFit="1" customWidth="1"/>
    <col min="2363" max="2363" width="7.59765625" customWidth="1"/>
    <col min="2364" max="2364" width="5.3984375" customWidth="1"/>
    <col min="2365" max="2365" width="7.59765625" customWidth="1"/>
    <col min="2366" max="2366" width="5.3984375" bestFit="1" customWidth="1"/>
    <col min="2367" max="2367" width="7.59765625" customWidth="1"/>
    <col min="2368" max="2368" width="5.3984375" customWidth="1"/>
    <col min="2369" max="2369" width="7.59765625" customWidth="1"/>
    <col min="2370" max="2370" width="5.3984375" bestFit="1" customWidth="1"/>
    <col min="2371" max="2371" width="7.59765625" customWidth="1"/>
    <col min="2372" max="2372" width="5.3984375" customWidth="1"/>
    <col min="2373" max="2373" width="7.59765625" customWidth="1"/>
    <col min="2374" max="2374" width="5.3984375" bestFit="1" customWidth="1"/>
    <col min="2376" max="2377" width="5.3984375" bestFit="1" customWidth="1"/>
    <col min="2378" max="2378" width="2.09765625" bestFit="1" customWidth="1"/>
    <col min="2529" max="2529" width="4.3984375" customWidth="1"/>
    <col min="2530" max="2530" width="30.5" customWidth="1"/>
    <col min="2533" max="2533" width="10.69921875" customWidth="1"/>
    <col min="2534" max="2534" width="5.19921875" customWidth="1"/>
    <col min="2535" max="2535" width="7.59765625" customWidth="1"/>
    <col min="2536" max="2536" width="5.3984375" customWidth="1"/>
    <col min="2537" max="2537" width="7.59765625" customWidth="1"/>
    <col min="2538" max="2538" width="6" bestFit="1" customWidth="1"/>
    <col min="2539" max="2539" width="7.59765625" customWidth="1"/>
    <col min="2540" max="2540" width="5.3984375" customWidth="1"/>
    <col min="2541" max="2541" width="7.59765625" customWidth="1"/>
    <col min="2542" max="2542" width="5.3984375" bestFit="1" customWidth="1"/>
    <col min="2543" max="2543" width="7.59765625" customWidth="1"/>
    <col min="2544" max="2544" width="5.3984375" customWidth="1"/>
    <col min="2545" max="2545" width="7.59765625" customWidth="1"/>
    <col min="2546" max="2546" width="5.3984375" bestFit="1" customWidth="1"/>
    <col min="2547" max="2547" width="7.59765625" customWidth="1"/>
    <col min="2548" max="2548" width="5.3984375" customWidth="1"/>
    <col min="2549" max="2549" width="7.59765625" customWidth="1"/>
    <col min="2550" max="2550" width="5.3984375" bestFit="1" customWidth="1"/>
    <col min="2551" max="2551" width="7.59765625" customWidth="1"/>
    <col min="2552" max="2552" width="5.3984375" customWidth="1"/>
    <col min="2553" max="2553" width="7.59765625" customWidth="1"/>
    <col min="2554" max="2554" width="5.3984375" bestFit="1" customWidth="1"/>
    <col min="2555" max="2555" width="7.59765625" customWidth="1"/>
    <col min="2556" max="2556" width="5.3984375" customWidth="1"/>
    <col min="2557" max="2557" width="7.59765625" customWidth="1"/>
    <col min="2558" max="2558" width="5.3984375" bestFit="1" customWidth="1"/>
    <col min="2559" max="2559" width="7.59765625" customWidth="1"/>
    <col min="2560" max="2560" width="5.3984375" customWidth="1"/>
    <col min="2561" max="2561" width="7.59765625" customWidth="1"/>
    <col min="2562" max="2562" width="5.3984375" bestFit="1" customWidth="1"/>
    <col min="2563" max="2563" width="7.59765625" customWidth="1"/>
    <col min="2564" max="2564" width="5.3984375" customWidth="1"/>
    <col min="2565" max="2565" width="7.59765625" customWidth="1"/>
    <col min="2566" max="2566" width="5.3984375" bestFit="1" customWidth="1"/>
    <col min="2567" max="2567" width="7.59765625" customWidth="1"/>
    <col min="2568" max="2568" width="5.3984375" customWidth="1"/>
    <col min="2569" max="2569" width="7.59765625" customWidth="1"/>
    <col min="2570" max="2570" width="5.3984375" bestFit="1" customWidth="1"/>
    <col min="2571" max="2571" width="7.59765625" customWidth="1"/>
    <col min="2572" max="2572" width="5.3984375" customWidth="1"/>
    <col min="2573" max="2573" width="7.59765625" customWidth="1"/>
    <col min="2574" max="2574" width="5.3984375" bestFit="1" customWidth="1"/>
    <col min="2575" max="2575" width="7.59765625" customWidth="1"/>
    <col min="2576" max="2576" width="5.3984375" customWidth="1"/>
    <col min="2577" max="2577" width="7.59765625" customWidth="1"/>
    <col min="2578" max="2578" width="5.3984375" bestFit="1" customWidth="1"/>
    <col min="2579" max="2579" width="7.59765625" customWidth="1"/>
    <col min="2580" max="2580" width="5.3984375" customWidth="1"/>
    <col min="2581" max="2581" width="7.59765625" customWidth="1"/>
    <col min="2582" max="2582" width="5.3984375" bestFit="1" customWidth="1"/>
    <col min="2583" max="2583" width="7.59765625" customWidth="1"/>
    <col min="2584" max="2584" width="5.3984375" customWidth="1"/>
    <col min="2585" max="2585" width="7.59765625" customWidth="1"/>
    <col min="2586" max="2586" width="5.3984375" bestFit="1" customWidth="1"/>
    <col min="2587" max="2587" width="7.59765625" customWidth="1"/>
    <col min="2588" max="2588" width="5.3984375" customWidth="1"/>
    <col min="2589" max="2589" width="7.59765625" customWidth="1"/>
    <col min="2590" max="2590" width="5.3984375" bestFit="1" customWidth="1"/>
    <col min="2591" max="2591" width="7.59765625" customWidth="1"/>
    <col min="2592" max="2592" width="5.3984375" customWidth="1"/>
    <col min="2593" max="2593" width="7.59765625" customWidth="1"/>
    <col min="2594" max="2594" width="5.3984375" bestFit="1" customWidth="1"/>
    <col min="2595" max="2595" width="7.59765625" customWidth="1"/>
    <col min="2596" max="2596" width="5.3984375" customWidth="1"/>
    <col min="2597" max="2597" width="7.59765625" customWidth="1"/>
    <col min="2598" max="2598" width="5.3984375" bestFit="1" customWidth="1"/>
    <col min="2599" max="2599" width="7.59765625" customWidth="1"/>
    <col min="2600" max="2600" width="5.3984375" customWidth="1"/>
    <col min="2601" max="2601" width="7.59765625" customWidth="1"/>
    <col min="2602" max="2602" width="5.3984375" bestFit="1" customWidth="1"/>
    <col min="2603" max="2603" width="7.59765625" customWidth="1"/>
    <col min="2604" max="2604" width="5.3984375" customWidth="1"/>
    <col min="2605" max="2605" width="7.59765625" customWidth="1"/>
    <col min="2606" max="2606" width="5.3984375" bestFit="1" customWidth="1"/>
    <col min="2607" max="2607" width="7.59765625" customWidth="1"/>
    <col min="2608" max="2608" width="5.3984375" customWidth="1"/>
    <col min="2609" max="2609" width="7.59765625" customWidth="1"/>
    <col min="2610" max="2610" width="5.3984375" bestFit="1" customWidth="1"/>
    <col min="2611" max="2611" width="7.59765625" customWidth="1"/>
    <col min="2612" max="2612" width="5.3984375" customWidth="1"/>
    <col min="2613" max="2613" width="7.59765625" customWidth="1"/>
    <col min="2614" max="2614" width="5.3984375" bestFit="1" customWidth="1"/>
    <col min="2615" max="2615" width="7.59765625" customWidth="1"/>
    <col min="2616" max="2616" width="5.3984375" customWidth="1"/>
    <col min="2617" max="2617" width="7.59765625" customWidth="1"/>
    <col min="2618" max="2618" width="5.3984375" bestFit="1" customWidth="1"/>
    <col min="2619" max="2619" width="7.59765625" customWidth="1"/>
    <col min="2620" max="2620" width="5.3984375" customWidth="1"/>
    <col min="2621" max="2621" width="7.59765625" customWidth="1"/>
    <col min="2622" max="2622" width="5.3984375" bestFit="1" customWidth="1"/>
    <col min="2623" max="2623" width="7.59765625" customWidth="1"/>
    <col min="2624" max="2624" width="5.3984375" customWidth="1"/>
    <col min="2625" max="2625" width="7.59765625" customWidth="1"/>
    <col min="2626" max="2626" width="5.3984375" bestFit="1" customWidth="1"/>
    <col min="2627" max="2627" width="7.59765625" customWidth="1"/>
    <col min="2628" max="2628" width="5.3984375" customWidth="1"/>
    <col min="2629" max="2629" width="7.59765625" customWidth="1"/>
    <col min="2630" max="2630" width="5.3984375" bestFit="1" customWidth="1"/>
    <col min="2632" max="2633" width="5.3984375" bestFit="1" customWidth="1"/>
    <col min="2634" max="2634" width="2.09765625" bestFit="1" customWidth="1"/>
    <col min="2785" max="2785" width="4.3984375" customWidth="1"/>
    <col min="2786" max="2786" width="30.5" customWidth="1"/>
    <col min="2789" max="2789" width="10.69921875" customWidth="1"/>
    <col min="2790" max="2790" width="5.19921875" customWidth="1"/>
    <col min="2791" max="2791" width="7.59765625" customWidth="1"/>
    <col min="2792" max="2792" width="5.3984375" customWidth="1"/>
    <col min="2793" max="2793" width="7.59765625" customWidth="1"/>
    <col min="2794" max="2794" width="6" bestFit="1" customWidth="1"/>
    <col min="2795" max="2795" width="7.59765625" customWidth="1"/>
    <col min="2796" max="2796" width="5.3984375" customWidth="1"/>
    <col min="2797" max="2797" width="7.59765625" customWidth="1"/>
    <col min="2798" max="2798" width="5.3984375" bestFit="1" customWidth="1"/>
    <col min="2799" max="2799" width="7.59765625" customWidth="1"/>
    <col min="2800" max="2800" width="5.3984375" customWidth="1"/>
    <col min="2801" max="2801" width="7.59765625" customWidth="1"/>
    <col min="2802" max="2802" width="5.3984375" bestFit="1" customWidth="1"/>
    <col min="2803" max="2803" width="7.59765625" customWidth="1"/>
    <col min="2804" max="2804" width="5.3984375" customWidth="1"/>
    <col min="2805" max="2805" width="7.59765625" customWidth="1"/>
    <col min="2806" max="2806" width="5.3984375" bestFit="1" customWidth="1"/>
    <col min="2807" max="2807" width="7.59765625" customWidth="1"/>
    <col min="2808" max="2808" width="5.3984375" customWidth="1"/>
    <col min="2809" max="2809" width="7.59765625" customWidth="1"/>
    <col min="2810" max="2810" width="5.3984375" bestFit="1" customWidth="1"/>
    <col min="2811" max="2811" width="7.59765625" customWidth="1"/>
    <col min="2812" max="2812" width="5.3984375" customWidth="1"/>
    <col min="2813" max="2813" width="7.59765625" customWidth="1"/>
    <col min="2814" max="2814" width="5.3984375" bestFit="1" customWidth="1"/>
    <col min="2815" max="2815" width="7.59765625" customWidth="1"/>
    <col min="2816" max="2816" width="5.3984375" customWidth="1"/>
    <col min="2817" max="2817" width="7.59765625" customWidth="1"/>
    <col min="2818" max="2818" width="5.3984375" bestFit="1" customWidth="1"/>
    <col min="2819" max="2819" width="7.59765625" customWidth="1"/>
    <col min="2820" max="2820" width="5.3984375" customWidth="1"/>
    <col min="2821" max="2821" width="7.59765625" customWidth="1"/>
    <col min="2822" max="2822" width="5.3984375" bestFit="1" customWidth="1"/>
    <col min="2823" max="2823" width="7.59765625" customWidth="1"/>
    <col min="2824" max="2824" width="5.3984375" customWidth="1"/>
    <col min="2825" max="2825" width="7.59765625" customWidth="1"/>
    <col min="2826" max="2826" width="5.3984375" bestFit="1" customWidth="1"/>
    <col min="2827" max="2827" width="7.59765625" customWidth="1"/>
    <col min="2828" max="2828" width="5.3984375" customWidth="1"/>
    <col min="2829" max="2829" width="7.59765625" customWidth="1"/>
    <col min="2830" max="2830" width="5.3984375" bestFit="1" customWidth="1"/>
    <col min="2831" max="2831" width="7.59765625" customWidth="1"/>
    <col min="2832" max="2832" width="5.3984375" customWidth="1"/>
    <col min="2833" max="2833" width="7.59765625" customWidth="1"/>
    <col min="2834" max="2834" width="5.3984375" bestFit="1" customWidth="1"/>
    <col min="2835" max="2835" width="7.59765625" customWidth="1"/>
    <col min="2836" max="2836" width="5.3984375" customWidth="1"/>
    <col min="2837" max="2837" width="7.59765625" customWidth="1"/>
    <col min="2838" max="2838" width="5.3984375" bestFit="1" customWidth="1"/>
    <col min="2839" max="2839" width="7.59765625" customWidth="1"/>
    <col min="2840" max="2840" width="5.3984375" customWidth="1"/>
    <col min="2841" max="2841" width="7.59765625" customWidth="1"/>
    <col min="2842" max="2842" width="5.3984375" bestFit="1" customWidth="1"/>
    <col min="2843" max="2843" width="7.59765625" customWidth="1"/>
    <col min="2844" max="2844" width="5.3984375" customWidth="1"/>
    <col min="2845" max="2845" width="7.59765625" customWidth="1"/>
    <col min="2846" max="2846" width="5.3984375" bestFit="1" customWidth="1"/>
    <col min="2847" max="2847" width="7.59765625" customWidth="1"/>
    <col min="2848" max="2848" width="5.3984375" customWidth="1"/>
    <col min="2849" max="2849" width="7.59765625" customWidth="1"/>
    <col min="2850" max="2850" width="5.3984375" bestFit="1" customWidth="1"/>
    <col min="2851" max="2851" width="7.59765625" customWidth="1"/>
    <col min="2852" max="2852" width="5.3984375" customWidth="1"/>
    <col min="2853" max="2853" width="7.59765625" customWidth="1"/>
    <col min="2854" max="2854" width="5.3984375" bestFit="1" customWidth="1"/>
    <col min="2855" max="2855" width="7.59765625" customWidth="1"/>
    <col min="2856" max="2856" width="5.3984375" customWidth="1"/>
    <col min="2857" max="2857" width="7.59765625" customWidth="1"/>
    <col min="2858" max="2858" width="5.3984375" bestFit="1" customWidth="1"/>
    <col min="2859" max="2859" width="7.59765625" customWidth="1"/>
    <col min="2860" max="2860" width="5.3984375" customWidth="1"/>
    <col min="2861" max="2861" width="7.59765625" customWidth="1"/>
    <col min="2862" max="2862" width="5.3984375" bestFit="1" customWidth="1"/>
    <col min="2863" max="2863" width="7.59765625" customWidth="1"/>
    <col min="2864" max="2864" width="5.3984375" customWidth="1"/>
    <col min="2865" max="2865" width="7.59765625" customWidth="1"/>
    <col min="2866" max="2866" width="5.3984375" bestFit="1" customWidth="1"/>
    <col min="2867" max="2867" width="7.59765625" customWidth="1"/>
    <col min="2868" max="2868" width="5.3984375" customWidth="1"/>
    <col min="2869" max="2869" width="7.59765625" customWidth="1"/>
    <col min="2870" max="2870" width="5.3984375" bestFit="1" customWidth="1"/>
    <col min="2871" max="2871" width="7.59765625" customWidth="1"/>
    <col min="2872" max="2872" width="5.3984375" customWidth="1"/>
    <col min="2873" max="2873" width="7.59765625" customWidth="1"/>
    <col min="2874" max="2874" width="5.3984375" bestFit="1" customWidth="1"/>
    <col min="2875" max="2875" width="7.59765625" customWidth="1"/>
    <col min="2876" max="2876" width="5.3984375" customWidth="1"/>
    <col min="2877" max="2877" width="7.59765625" customWidth="1"/>
    <col min="2878" max="2878" width="5.3984375" bestFit="1" customWidth="1"/>
    <col min="2879" max="2879" width="7.59765625" customWidth="1"/>
    <col min="2880" max="2880" width="5.3984375" customWidth="1"/>
    <col min="2881" max="2881" width="7.59765625" customWidth="1"/>
    <col min="2882" max="2882" width="5.3984375" bestFit="1" customWidth="1"/>
    <col min="2883" max="2883" width="7.59765625" customWidth="1"/>
    <col min="2884" max="2884" width="5.3984375" customWidth="1"/>
    <col min="2885" max="2885" width="7.59765625" customWidth="1"/>
    <col min="2886" max="2886" width="5.3984375" bestFit="1" customWidth="1"/>
    <col min="2888" max="2889" width="5.3984375" bestFit="1" customWidth="1"/>
    <col min="2890" max="2890" width="2.09765625" bestFit="1" customWidth="1"/>
    <col min="3041" max="3041" width="4.3984375" customWidth="1"/>
    <col min="3042" max="3042" width="30.5" customWidth="1"/>
    <col min="3045" max="3045" width="10.69921875" customWidth="1"/>
    <col min="3046" max="3046" width="5.19921875" customWidth="1"/>
    <col min="3047" max="3047" width="7.59765625" customWidth="1"/>
    <col min="3048" max="3048" width="5.3984375" customWidth="1"/>
    <col min="3049" max="3049" width="7.59765625" customWidth="1"/>
    <col min="3050" max="3050" width="6" bestFit="1" customWidth="1"/>
    <col min="3051" max="3051" width="7.59765625" customWidth="1"/>
    <col min="3052" max="3052" width="5.3984375" customWidth="1"/>
    <col min="3053" max="3053" width="7.59765625" customWidth="1"/>
    <col min="3054" max="3054" width="5.3984375" bestFit="1" customWidth="1"/>
    <col min="3055" max="3055" width="7.59765625" customWidth="1"/>
    <col min="3056" max="3056" width="5.3984375" customWidth="1"/>
    <col min="3057" max="3057" width="7.59765625" customWidth="1"/>
    <col min="3058" max="3058" width="5.3984375" bestFit="1" customWidth="1"/>
    <col min="3059" max="3059" width="7.59765625" customWidth="1"/>
    <col min="3060" max="3060" width="5.3984375" customWidth="1"/>
    <col min="3061" max="3061" width="7.59765625" customWidth="1"/>
    <col min="3062" max="3062" width="5.3984375" bestFit="1" customWidth="1"/>
    <col min="3063" max="3063" width="7.59765625" customWidth="1"/>
    <col min="3064" max="3064" width="5.3984375" customWidth="1"/>
    <col min="3065" max="3065" width="7.59765625" customWidth="1"/>
    <col min="3066" max="3066" width="5.3984375" bestFit="1" customWidth="1"/>
    <col min="3067" max="3067" width="7.59765625" customWidth="1"/>
    <col min="3068" max="3068" width="5.3984375" customWidth="1"/>
    <col min="3069" max="3069" width="7.59765625" customWidth="1"/>
    <col min="3070" max="3070" width="5.3984375" bestFit="1" customWidth="1"/>
    <col min="3071" max="3071" width="7.59765625" customWidth="1"/>
    <col min="3072" max="3072" width="5.3984375" customWidth="1"/>
    <col min="3073" max="3073" width="7.59765625" customWidth="1"/>
    <col min="3074" max="3074" width="5.3984375" bestFit="1" customWidth="1"/>
    <col min="3075" max="3075" width="7.59765625" customWidth="1"/>
    <col min="3076" max="3076" width="5.3984375" customWidth="1"/>
    <col min="3077" max="3077" width="7.59765625" customWidth="1"/>
    <col min="3078" max="3078" width="5.3984375" bestFit="1" customWidth="1"/>
    <col min="3079" max="3079" width="7.59765625" customWidth="1"/>
    <col min="3080" max="3080" width="5.3984375" customWidth="1"/>
    <col min="3081" max="3081" width="7.59765625" customWidth="1"/>
    <col min="3082" max="3082" width="5.3984375" bestFit="1" customWidth="1"/>
    <col min="3083" max="3083" width="7.59765625" customWidth="1"/>
    <col min="3084" max="3084" width="5.3984375" customWidth="1"/>
    <col min="3085" max="3085" width="7.59765625" customWidth="1"/>
    <col min="3086" max="3086" width="5.3984375" bestFit="1" customWidth="1"/>
    <col min="3087" max="3087" width="7.59765625" customWidth="1"/>
    <col min="3088" max="3088" width="5.3984375" customWidth="1"/>
    <col min="3089" max="3089" width="7.59765625" customWidth="1"/>
    <col min="3090" max="3090" width="5.3984375" bestFit="1" customWidth="1"/>
    <col min="3091" max="3091" width="7.59765625" customWidth="1"/>
    <col min="3092" max="3092" width="5.3984375" customWidth="1"/>
    <col min="3093" max="3093" width="7.59765625" customWidth="1"/>
    <col min="3094" max="3094" width="5.3984375" bestFit="1" customWidth="1"/>
    <col min="3095" max="3095" width="7.59765625" customWidth="1"/>
    <col min="3096" max="3096" width="5.3984375" customWidth="1"/>
    <col min="3097" max="3097" width="7.59765625" customWidth="1"/>
    <col min="3098" max="3098" width="5.3984375" bestFit="1" customWidth="1"/>
    <col min="3099" max="3099" width="7.59765625" customWidth="1"/>
    <col min="3100" max="3100" width="5.3984375" customWidth="1"/>
    <col min="3101" max="3101" width="7.59765625" customWidth="1"/>
    <col min="3102" max="3102" width="5.3984375" bestFit="1" customWidth="1"/>
    <col min="3103" max="3103" width="7.59765625" customWidth="1"/>
    <col min="3104" max="3104" width="5.3984375" customWidth="1"/>
    <col min="3105" max="3105" width="7.59765625" customWidth="1"/>
    <col min="3106" max="3106" width="5.3984375" bestFit="1" customWidth="1"/>
    <col min="3107" max="3107" width="7.59765625" customWidth="1"/>
    <col min="3108" max="3108" width="5.3984375" customWidth="1"/>
    <col min="3109" max="3109" width="7.59765625" customWidth="1"/>
    <col min="3110" max="3110" width="5.3984375" bestFit="1" customWidth="1"/>
    <col min="3111" max="3111" width="7.59765625" customWidth="1"/>
    <col min="3112" max="3112" width="5.3984375" customWidth="1"/>
    <col min="3113" max="3113" width="7.59765625" customWidth="1"/>
    <col min="3114" max="3114" width="5.3984375" bestFit="1" customWidth="1"/>
    <col min="3115" max="3115" width="7.59765625" customWidth="1"/>
    <col min="3116" max="3116" width="5.3984375" customWidth="1"/>
    <col min="3117" max="3117" width="7.59765625" customWidth="1"/>
    <col min="3118" max="3118" width="5.3984375" bestFit="1" customWidth="1"/>
    <col min="3119" max="3119" width="7.59765625" customWidth="1"/>
    <col min="3120" max="3120" width="5.3984375" customWidth="1"/>
    <col min="3121" max="3121" width="7.59765625" customWidth="1"/>
    <col min="3122" max="3122" width="5.3984375" bestFit="1" customWidth="1"/>
    <col min="3123" max="3123" width="7.59765625" customWidth="1"/>
    <col min="3124" max="3124" width="5.3984375" customWidth="1"/>
    <col min="3125" max="3125" width="7.59765625" customWidth="1"/>
    <col min="3126" max="3126" width="5.3984375" bestFit="1" customWidth="1"/>
    <col min="3127" max="3127" width="7.59765625" customWidth="1"/>
    <col min="3128" max="3128" width="5.3984375" customWidth="1"/>
    <col min="3129" max="3129" width="7.59765625" customWidth="1"/>
    <col min="3130" max="3130" width="5.3984375" bestFit="1" customWidth="1"/>
    <col min="3131" max="3131" width="7.59765625" customWidth="1"/>
    <col min="3132" max="3132" width="5.3984375" customWidth="1"/>
    <col min="3133" max="3133" width="7.59765625" customWidth="1"/>
    <col min="3134" max="3134" width="5.3984375" bestFit="1" customWidth="1"/>
    <col min="3135" max="3135" width="7.59765625" customWidth="1"/>
    <col min="3136" max="3136" width="5.3984375" customWidth="1"/>
    <col min="3137" max="3137" width="7.59765625" customWidth="1"/>
    <col min="3138" max="3138" width="5.3984375" bestFit="1" customWidth="1"/>
    <col min="3139" max="3139" width="7.59765625" customWidth="1"/>
    <col min="3140" max="3140" width="5.3984375" customWidth="1"/>
    <col min="3141" max="3141" width="7.59765625" customWidth="1"/>
    <col min="3142" max="3142" width="5.3984375" bestFit="1" customWidth="1"/>
    <col min="3144" max="3145" width="5.3984375" bestFit="1" customWidth="1"/>
    <col min="3146" max="3146" width="2.09765625" bestFit="1" customWidth="1"/>
    <col min="3297" max="3297" width="4.3984375" customWidth="1"/>
    <col min="3298" max="3298" width="30.5" customWidth="1"/>
    <col min="3301" max="3301" width="10.69921875" customWidth="1"/>
    <col min="3302" max="3302" width="5.19921875" customWidth="1"/>
    <col min="3303" max="3303" width="7.59765625" customWidth="1"/>
    <col min="3304" max="3304" width="5.3984375" customWidth="1"/>
    <col min="3305" max="3305" width="7.59765625" customWidth="1"/>
    <col min="3306" max="3306" width="6" bestFit="1" customWidth="1"/>
    <col min="3307" max="3307" width="7.59765625" customWidth="1"/>
    <col min="3308" max="3308" width="5.3984375" customWidth="1"/>
    <col min="3309" max="3309" width="7.59765625" customWidth="1"/>
    <col min="3310" max="3310" width="5.3984375" bestFit="1" customWidth="1"/>
    <col min="3311" max="3311" width="7.59765625" customWidth="1"/>
    <col min="3312" max="3312" width="5.3984375" customWidth="1"/>
    <col min="3313" max="3313" width="7.59765625" customWidth="1"/>
    <col min="3314" max="3314" width="5.3984375" bestFit="1" customWidth="1"/>
    <col min="3315" max="3315" width="7.59765625" customWidth="1"/>
    <col min="3316" max="3316" width="5.3984375" customWidth="1"/>
    <col min="3317" max="3317" width="7.59765625" customWidth="1"/>
    <col min="3318" max="3318" width="5.3984375" bestFit="1" customWidth="1"/>
    <col min="3319" max="3319" width="7.59765625" customWidth="1"/>
    <col min="3320" max="3320" width="5.3984375" customWidth="1"/>
    <col min="3321" max="3321" width="7.59765625" customWidth="1"/>
    <col min="3322" max="3322" width="5.3984375" bestFit="1" customWidth="1"/>
    <col min="3323" max="3323" width="7.59765625" customWidth="1"/>
    <col min="3324" max="3324" width="5.3984375" customWidth="1"/>
    <col min="3325" max="3325" width="7.59765625" customWidth="1"/>
    <col min="3326" max="3326" width="5.3984375" bestFit="1" customWidth="1"/>
    <col min="3327" max="3327" width="7.59765625" customWidth="1"/>
    <col min="3328" max="3328" width="5.3984375" customWidth="1"/>
    <col min="3329" max="3329" width="7.59765625" customWidth="1"/>
    <col min="3330" max="3330" width="5.3984375" bestFit="1" customWidth="1"/>
    <col min="3331" max="3331" width="7.59765625" customWidth="1"/>
    <col min="3332" max="3332" width="5.3984375" customWidth="1"/>
    <col min="3333" max="3333" width="7.59765625" customWidth="1"/>
    <col min="3334" max="3334" width="5.3984375" bestFit="1" customWidth="1"/>
    <col min="3335" max="3335" width="7.59765625" customWidth="1"/>
    <col min="3336" max="3336" width="5.3984375" customWidth="1"/>
    <col min="3337" max="3337" width="7.59765625" customWidth="1"/>
    <col min="3338" max="3338" width="5.3984375" bestFit="1" customWidth="1"/>
    <col min="3339" max="3339" width="7.59765625" customWidth="1"/>
    <col min="3340" max="3340" width="5.3984375" customWidth="1"/>
    <col min="3341" max="3341" width="7.59765625" customWidth="1"/>
    <col min="3342" max="3342" width="5.3984375" bestFit="1" customWidth="1"/>
    <col min="3343" max="3343" width="7.59765625" customWidth="1"/>
    <col min="3344" max="3344" width="5.3984375" customWidth="1"/>
    <col min="3345" max="3345" width="7.59765625" customWidth="1"/>
    <col min="3346" max="3346" width="5.3984375" bestFit="1" customWidth="1"/>
    <col min="3347" max="3347" width="7.59765625" customWidth="1"/>
    <col min="3348" max="3348" width="5.3984375" customWidth="1"/>
    <col min="3349" max="3349" width="7.59765625" customWidth="1"/>
    <col min="3350" max="3350" width="5.3984375" bestFit="1" customWidth="1"/>
    <col min="3351" max="3351" width="7.59765625" customWidth="1"/>
    <col min="3352" max="3352" width="5.3984375" customWidth="1"/>
    <col min="3353" max="3353" width="7.59765625" customWidth="1"/>
    <col min="3354" max="3354" width="5.3984375" bestFit="1" customWidth="1"/>
    <col min="3355" max="3355" width="7.59765625" customWidth="1"/>
    <col min="3356" max="3356" width="5.3984375" customWidth="1"/>
    <col min="3357" max="3357" width="7.59765625" customWidth="1"/>
    <col min="3358" max="3358" width="5.3984375" bestFit="1" customWidth="1"/>
    <col min="3359" max="3359" width="7.59765625" customWidth="1"/>
    <col min="3360" max="3360" width="5.3984375" customWidth="1"/>
    <col min="3361" max="3361" width="7.59765625" customWidth="1"/>
    <col min="3362" max="3362" width="5.3984375" bestFit="1" customWidth="1"/>
    <col min="3363" max="3363" width="7.59765625" customWidth="1"/>
    <col min="3364" max="3364" width="5.3984375" customWidth="1"/>
    <col min="3365" max="3365" width="7.59765625" customWidth="1"/>
    <col min="3366" max="3366" width="5.3984375" bestFit="1" customWidth="1"/>
    <col min="3367" max="3367" width="7.59765625" customWidth="1"/>
    <col min="3368" max="3368" width="5.3984375" customWidth="1"/>
    <col min="3369" max="3369" width="7.59765625" customWidth="1"/>
    <col min="3370" max="3370" width="5.3984375" bestFit="1" customWidth="1"/>
    <col min="3371" max="3371" width="7.59765625" customWidth="1"/>
    <col min="3372" max="3372" width="5.3984375" customWidth="1"/>
    <col min="3373" max="3373" width="7.59765625" customWidth="1"/>
    <col min="3374" max="3374" width="5.3984375" bestFit="1" customWidth="1"/>
    <col min="3375" max="3375" width="7.59765625" customWidth="1"/>
    <col min="3376" max="3376" width="5.3984375" customWidth="1"/>
    <col min="3377" max="3377" width="7.59765625" customWidth="1"/>
    <col min="3378" max="3378" width="5.3984375" bestFit="1" customWidth="1"/>
    <col min="3379" max="3379" width="7.59765625" customWidth="1"/>
    <col min="3380" max="3380" width="5.3984375" customWidth="1"/>
    <col min="3381" max="3381" width="7.59765625" customWidth="1"/>
    <col min="3382" max="3382" width="5.3984375" bestFit="1" customWidth="1"/>
    <col min="3383" max="3383" width="7.59765625" customWidth="1"/>
    <col min="3384" max="3384" width="5.3984375" customWidth="1"/>
    <col min="3385" max="3385" width="7.59765625" customWidth="1"/>
    <col min="3386" max="3386" width="5.3984375" bestFit="1" customWidth="1"/>
    <col min="3387" max="3387" width="7.59765625" customWidth="1"/>
    <col min="3388" max="3388" width="5.3984375" customWidth="1"/>
    <col min="3389" max="3389" width="7.59765625" customWidth="1"/>
    <col min="3390" max="3390" width="5.3984375" bestFit="1" customWidth="1"/>
    <col min="3391" max="3391" width="7.59765625" customWidth="1"/>
    <col min="3392" max="3392" width="5.3984375" customWidth="1"/>
    <col min="3393" max="3393" width="7.59765625" customWidth="1"/>
    <col min="3394" max="3394" width="5.3984375" bestFit="1" customWidth="1"/>
    <col min="3395" max="3395" width="7.59765625" customWidth="1"/>
    <col min="3396" max="3396" width="5.3984375" customWidth="1"/>
    <col min="3397" max="3397" width="7.59765625" customWidth="1"/>
    <col min="3398" max="3398" width="5.3984375" bestFit="1" customWidth="1"/>
    <col min="3400" max="3401" width="5.3984375" bestFit="1" customWidth="1"/>
    <col min="3402" max="3402" width="2.09765625" bestFit="1" customWidth="1"/>
    <col min="3553" max="3553" width="4.3984375" customWidth="1"/>
    <col min="3554" max="3554" width="30.5" customWidth="1"/>
    <col min="3557" max="3557" width="10.69921875" customWidth="1"/>
    <col min="3558" max="3558" width="5.19921875" customWidth="1"/>
    <col min="3559" max="3559" width="7.59765625" customWidth="1"/>
    <col min="3560" max="3560" width="5.3984375" customWidth="1"/>
    <col min="3561" max="3561" width="7.59765625" customWidth="1"/>
    <col min="3562" max="3562" width="6" bestFit="1" customWidth="1"/>
    <col min="3563" max="3563" width="7.59765625" customWidth="1"/>
    <col min="3564" max="3564" width="5.3984375" customWidth="1"/>
    <col min="3565" max="3565" width="7.59765625" customWidth="1"/>
    <col min="3566" max="3566" width="5.3984375" bestFit="1" customWidth="1"/>
    <col min="3567" max="3567" width="7.59765625" customWidth="1"/>
    <col min="3568" max="3568" width="5.3984375" customWidth="1"/>
    <col min="3569" max="3569" width="7.59765625" customWidth="1"/>
    <col min="3570" max="3570" width="5.3984375" bestFit="1" customWidth="1"/>
    <col min="3571" max="3571" width="7.59765625" customWidth="1"/>
    <col min="3572" max="3572" width="5.3984375" customWidth="1"/>
    <col min="3573" max="3573" width="7.59765625" customWidth="1"/>
    <col min="3574" max="3574" width="5.3984375" bestFit="1" customWidth="1"/>
    <col min="3575" max="3575" width="7.59765625" customWidth="1"/>
    <col min="3576" max="3576" width="5.3984375" customWidth="1"/>
    <col min="3577" max="3577" width="7.59765625" customWidth="1"/>
    <col min="3578" max="3578" width="5.3984375" bestFit="1" customWidth="1"/>
    <col min="3579" max="3579" width="7.59765625" customWidth="1"/>
    <col min="3580" max="3580" width="5.3984375" customWidth="1"/>
    <col min="3581" max="3581" width="7.59765625" customWidth="1"/>
    <col min="3582" max="3582" width="5.3984375" bestFit="1" customWidth="1"/>
    <col min="3583" max="3583" width="7.59765625" customWidth="1"/>
    <col min="3584" max="3584" width="5.3984375" customWidth="1"/>
    <col min="3585" max="3585" width="7.59765625" customWidth="1"/>
    <col min="3586" max="3586" width="5.3984375" bestFit="1" customWidth="1"/>
    <col min="3587" max="3587" width="7.59765625" customWidth="1"/>
    <col min="3588" max="3588" width="5.3984375" customWidth="1"/>
    <col min="3589" max="3589" width="7.59765625" customWidth="1"/>
    <col min="3590" max="3590" width="5.3984375" bestFit="1" customWidth="1"/>
    <col min="3591" max="3591" width="7.59765625" customWidth="1"/>
    <col min="3592" max="3592" width="5.3984375" customWidth="1"/>
    <col min="3593" max="3593" width="7.59765625" customWidth="1"/>
    <col min="3594" max="3594" width="5.3984375" bestFit="1" customWidth="1"/>
    <col min="3595" max="3595" width="7.59765625" customWidth="1"/>
    <col min="3596" max="3596" width="5.3984375" customWidth="1"/>
    <col min="3597" max="3597" width="7.59765625" customWidth="1"/>
    <col min="3598" max="3598" width="5.3984375" bestFit="1" customWidth="1"/>
    <col min="3599" max="3599" width="7.59765625" customWidth="1"/>
    <col min="3600" max="3600" width="5.3984375" customWidth="1"/>
    <col min="3601" max="3601" width="7.59765625" customWidth="1"/>
    <col min="3602" max="3602" width="5.3984375" bestFit="1" customWidth="1"/>
    <col min="3603" max="3603" width="7.59765625" customWidth="1"/>
    <col min="3604" max="3604" width="5.3984375" customWidth="1"/>
    <col min="3605" max="3605" width="7.59765625" customWidth="1"/>
    <col min="3606" max="3606" width="5.3984375" bestFit="1" customWidth="1"/>
    <col min="3607" max="3607" width="7.59765625" customWidth="1"/>
    <col min="3608" max="3608" width="5.3984375" customWidth="1"/>
    <col min="3609" max="3609" width="7.59765625" customWidth="1"/>
    <col min="3610" max="3610" width="5.3984375" bestFit="1" customWidth="1"/>
    <col min="3611" max="3611" width="7.59765625" customWidth="1"/>
    <col min="3612" max="3612" width="5.3984375" customWidth="1"/>
    <col min="3613" max="3613" width="7.59765625" customWidth="1"/>
    <col min="3614" max="3614" width="5.3984375" bestFit="1" customWidth="1"/>
    <col min="3615" max="3615" width="7.59765625" customWidth="1"/>
    <col min="3616" max="3616" width="5.3984375" customWidth="1"/>
    <col min="3617" max="3617" width="7.59765625" customWidth="1"/>
    <col min="3618" max="3618" width="5.3984375" bestFit="1" customWidth="1"/>
    <col min="3619" max="3619" width="7.59765625" customWidth="1"/>
    <col min="3620" max="3620" width="5.3984375" customWidth="1"/>
    <col min="3621" max="3621" width="7.59765625" customWidth="1"/>
    <col min="3622" max="3622" width="5.3984375" bestFit="1" customWidth="1"/>
    <col min="3623" max="3623" width="7.59765625" customWidth="1"/>
    <col min="3624" max="3624" width="5.3984375" customWidth="1"/>
    <col min="3625" max="3625" width="7.59765625" customWidth="1"/>
    <col min="3626" max="3626" width="5.3984375" bestFit="1" customWidth="1"/>
    <col min="3627" max="3627" width="7.59765625" customWidth="1"/>
    <col min="3628" max="3628" width="5.3984375" customWidth="1"/>
    <col min="3629" max="3629" width="7.59765625" customWidth="1"/>
    <col min="3630" max="3630" width="5.3984375" bestFit="1" customWidth="1"/>
    <col min="3631" max="3631" width="7.59765625" customWidth="1"/>
    <col min="3632" max="3632" width="5.3984375" customWidth="1"/>
    <col min="3633" max="3633" width="7.59765625" customWidth="1"/>
    <col min="3634" max="3634" width="5.3984375" bestFit="1" customWidth="1"/>
    <col min="3635" max="3635" width="7.59765625" customWidth="1"/>
    <col min="3636" max="3636" width="5.3984375" customWidth="1"/>
    <col min="3637" max="3637" width="7.59765625" customWidth="1"/>
    <col min="3638" max="3638" width="5.3984375" bestFit="1" customWidth="1"/>
    <col min="3639" max="3639" width="7.59765625" customWidth="1"/>
    <col min="3640" max="3640" width="5.3984375" customWidth="1"/>
    <col min="3641" max="3641" width="7.59765625" customWidth="1"/>
    <col min="3642" max="3642" width="5.3984375" bestFit="1" customWidth="1"/>
    <col min="3643" max="3643" width="7.59765625" customWidth="1"/>
    <col min="3644" max="3644" width="5.3984375" customWidth="1"/>
    <col min="3645" max="3645" width="7.59765625" customWidth="1"/>
    <col min="3646" max="3646" width="5.3984375" bestFit="1" customWidth="1"/>
    <col min="3647" max="3647" width="7.59765625" customWidth="1"/>
    <col min="3648" max="3648" width="5.3984375" customWidth="1"/>
    <col min="3649" max="3649" width="7.59765625" customWidth="1"/>
    <col min="3650" max="3650" width="5.3984375" bestFit="1" customWidth="1"/>
    <col min="3651" max="3651" width="7.59765625" customWidth="1"/>
    <col min="3652" max="3652" width="5.3984375" customWidth="1"/>
    <col min="3653" max="3653" width="7.59765625" customWidth="1"/>
    <col min="3654" max="3654" width="5.3984375" bestFit="1" customWidth="1"/>
    <col min="3656" max="3657" width="5.3984375" bestFit="1" customWidth="1"/>
    <col min="3658" max="3658" width="2.09765625" bestFit="1" customWidth="1"/>
    <col min="3809" max="3809" width="4.3984375" customWidth="1"/>
    <col min="3810" max="3810" width="30.5" customWidth="1"/>
    <col min="3813" max="3813" width="10.69921875" customWidth="1"/>
    <col min="3814" max="3814" width="5.19921875" customWidth="1"/>
    <col min="3815" max="3815" width="7.59765625" customWidth="1"/>
    <col min="3816" max="3816" width="5.3984375" customWidth="1"/>
    <col min="3817" max="3817" width="7.59765625" customWidth="1"/>
    <col min="3818" max="3818" width="6" bestFit="1" customWidth="1"/>
    <col min="3819" max="3819" width="7.59765625" customWidth="1"/>
    <col min="3820" max="3820" width="5.3984375" customWidth="1"/>
    <col min="3821" max="3821" width="7.59765625" customWidth="1"/>
    <col min="3822" max="3822" width="5.3984375" bestFit="1" customWidth="1"/>
    <col min="3823" max="3823" width="7.59765625" customWidth="1"/>
    <col min="3824" max="3824" width="5.3984375" customWidth="1"/>
    <col min="3825" max="3825" width="7.59765625" customWidth="1"/>
    <col min="3826" max="3826" width="5.3984375" bestFit="1" customWidth="1"/>
    <col min="3827" max="3827" width="7.59765625" customWidth="1"/>
    <col min="3828" max="3828" width="5.3984375" customWidth="1"/>
    <col min="3829" max="3829" width="7.59765625" customWidth="1"/>
    <col min="3830" max="3830" width="5.3984375" bestFit="1" customWidth="1"/>
    <col min="3831" max="3831" width="7.59765625" customWidth="1"/>
    <col min="3832" max="3832" width="5.3984375" customWidth="1"/>
    <col min="3833" max="3833" width="7.59765625" customWidth="1"/>
    <col min="3834" max="3834" width="5.3984375" bestFit="1" customWidth="1"/>
    <col min="3835" max="3835" width="7.59765625" customWidth="1"/>
    <col min="3836" max="3836" width="5.3984375" customWidth="1"/>
    <col min="3837" max="3837" width="7.59765625" customWidth="1"/>
    <col min="3838" max="3838" width="5.3984375" bestFit="1" customWidth="1"/>
    <col min="3839" max="3839" width="7.59765625" customWidth="1"/>
    <col min="3840" max="3840" width="5.3984375" customWidth="1"/>
    <col min="3841" max="3841" width="7.59765625" customWidth="1"/>
    <col min="3842" max="3842" width="5.3984375" bestFit="1" customWidth="1"/>
    <col min="3843" max="3843" width="7.59765625" customWidth="1"/>
    <col min="3844" max="3844" width="5.3984375" customWidth="1"/>
    <col min="3845" max="3845" width="7.59765625" customWidth="1"/>
    <col min="3846" max="3846" width="5.3984375" bestFit="1" customWidth="1"/>
    <col min="3847" max="3847" width="7.59765625" customWidth="1"/>
    <col min="3848" max="3848" width="5.3984375" customWidth="1"/>
    <col min="3849" max="3849" width="7.59765625" customWidth="1"/>
    <col min="3850" max="3850" width="5.3984375" bestFit="1" customWidth="1"/>
    <col min="3851" max="3851" width="7.59765625" customWidth="1"/>
    <col min="3852" max="3852" width="5.3984375" customWidth="1"/>
    <col min="3853" max="3853" width="7.59765625" customWidth="1"/>
    <col min="3854" max="3854" width="5.3984375" bestFit="1" customWidth="1"/>
    <col min="3855" max="3855" width="7.59765625" customWidth="1"/>
    <col min="3856" max="3856" width="5.3984375" customWidth="1"/>
    <col min="3857" max="3857" width="7.59765625" customWidth="1"/>
    <col min="3858" max="3858" width="5.3984375" bestFit="1" customWidth="1"/>
    <col min="3859" max="3859" width="7.59765625" customWidth="1"/>
    <col min="3860" max="3860" width="5.3984375" customWidth="1"/>
    <col min="3861" max="3861" width="7.59765625" customWidth="1"/>
    <col min="3862" max="3862" width="5.3984375" bestFit="1" customWidth="1"/>
    <col min="3863" max="3863" width="7.59765625" customWidth="1"/>
    <col min="3864" max="3864" width="5.3984375" customWidth="1"/>
    <col min="3865" max="3865" width="7.59765625" customWidth="1"/>
    <col min="3866" max="3866" width="5.3984375" bestFit="1" customWidth="1"/>
    <col min="3867" max="3867" width="7.59765625" customWidth="1"/>
    <col min="3868" max="3868" width="5.3984375" customWidth="1"/>
    <col min="3869" max="3869" width="7.59765625" customWidth="1"/>
    <col min="3870" max="3870" width="5.3984375" bestFit="1" customWidth="1"/>
    <col min="3871" max="3871" width="7.59765625" customWidth="1"/>
    <col min="3872" max="3872" width="5.3984375" customWidth="1"/>
    <col min="3873" max="3873" width="7.59765625" customWidth="1"/>
    <col min="3874" max="3874" width="5.3984375" bestFit="1" customWidth="1"/>
    <col min="3875" max="3875" width="7.59765625" customWidth="1"/>
    <col min="3876" max="3876" width="5.3984375" customWidth="1"/>
    <col min="3877" max="3877" width="7.59765625" customWidth="1"/>
    <col min="3878" max="3878" width="5.3984375" bestFit="1" customWidth="1"/>
    <col min="3879" max="3879" width="7.59765625" customWidth="1"/>
    <col min="3880" max="3880" width="5.3984375" customWidth="1"/>
    <col min="3881" max="3881" width="7.59765625" customWidth="1"/>
    <col min="3882" max="3882" width="5.3984375" bestFit="1" customWidth="1"/>
    <col min="3883" max="3883" width="7.59765625" customWidth="1"/>
    <col min="3884" max="3884" width="5.3984375" customWidth="1"/>
    <col min="3885" max="3885" width="7.59765625" customWidth="1"/>
    <col min="3886" max="3886" width="5.3984375" bestFit="1" customWidth="1"/>
    <col min="3887" max="3887" width="7.59765625" customWidth="1"/>
    <col min="3888" max="3888" width="5.3984375" customWidth="1"/>
    <col min="3889" max="3889" width="7.59765625" customWidth="1"/>
    <col min="3890" max="3890" width="5.3984375" bestFit="1" customWidth="1"/>
    <col min="3891" max="3891" width="7.59765625" customWidth="1"/>
    <col min="3892" max="3892" width="5.3984375" customWidth="1"/>
    <col min="3893" max="3893" width="7.59765625" customWidth="1"/>
    <col min="3894" max="3894" width="5.3984375" bestFit="1" customWidth="1"/>
    <col min="3895" max="3895" width="7.59765625" customWidth="1"/>
    <col min="3896" max="3896" width="5.3984375" customWidth="1"/>
    <col min="3897" max="3897" width="7.59765625" customWidth="1"/>
    <col min="3898" max="3898" width="5.3984375" bestFit="1" customWidth="1"/>
    <col min="3899" max="3899" width="7.59765625" customWidth="1"/>
    <col min="3900" max="3900" width="5.3984375" customWidth="1"/>
    <col min="3901" max="3901" width="7.59765625" customWidth="1"/>
    <col min="3902" max="3902" width="5.3984375" bestFit="1" customWidth="1"/>
    <col min="3903" max="3903" width="7.59765625" customWidth="1"/>
    <col min="3904" max="3904" width="5.3984375" customWidth="1"/>
    <col min="3905" max="3905" width="7.59765625" customWidth="1"/>
    <col min="3906" max="3906" width="5.3984375" bestFit="1" customWidth="1"/>
    <col min="3907" max="3907" width="7.59765625" customWidth="1"/>
    <col min="3908" max="3908" width="5.3984375" customWidth="1"/>
    <col min="3909" max="3909" width="7.59765625" customWidth="1"/>
    <col min="3910" max="3910" width="5.3984375" bestFit="1" customWidth="1"/>
    <col min="3912" max="3913" width="5.3984375" bestFit="1" customWidth="1"/>
    <col min="3914" max="3914" width="2.09765625" bestFit="1" customWidth="1"/>
    <col min="4065" max="4065" width="4.3984375" customWidth="1"/>
    <col min="4066" max="4066" width="30.5" customWidth="1"/>
    <col min="4069" max="4069" width="10.69921875" customWidth="1"/>
    <col min="4070" max="4070" width="5.19921875" customWidth="1"/>
    <col min="4071" max="4071" width="7.59765625" customWidth="1"/>
    <col min="4072" max="4072" width="5.3984375" customWidth="1"/>
    <col min="4073" max="4073" width="7.59765625" customWidth="1"/>
    <col min="4074" max="4074" width="6" bestFit="1" customWidth="1"/>
    <col min="4075" max="4075" width="7.59765625" customWidth="1"/>
    <col min="4076" max="4076" width="5.3984375" customWidth="1"/>
    <col min="4077" max="4077" width="7.59765625" customWidth="1"/>
    <col min="4078" max="4078" width="5.3984375" bestFit="1" customWidth="1"/>
    <col min="4079" max="4079" width="7.59765625" customWidth="1"/>
    <col min="4080" max="4080" width="5.3984375" customWidth="1"/>
    <col min="4081" max="4081" width="7.59765625" customWidth="1"/>
    <col min="4082" max="4082" width="5.3984375" bestFit="1" customWidth="1"/>
    <col min="4083" max="4083" width="7.59765625" customWidth="1"/>
    <col min="4084" max="4084" width="5.3984375" customWidth="1"/>
    <col min="4085" max="4085" width="7.59765625" customWidth="1"/>
    <col min="4086" max="4086" width="5.3984375" bestFit="1" customWidth="1"/>
    <col min="4087" max="4087" width="7.59765625" customWidth="1"/>
    <col min="4088" max="4088" width="5.3984375" customWidth="1"/>
    <col min="4089" max="4089" width="7.59765625" customWidth="1"/>
    <col min="4090" max="4090" width="5.3984375" bestFit="1" customWidth="1"/>
    <col min="4091" max="4091" width="7.59765625" customWidth="1"/>
    <col min="4092" max="4092" width="5.3984375" customWidth="1"/>
    <col min="4093" max="4093" width="7.59765625" customWidth="1"/>
    <col min="4094" max="4094" width="5.3984375" bestFit="1" customWidth="1"/>
    <col min="4095" max="4095" width="7.59765625" customWidth="1"/>
    <col min="4096" max="4096" width="5.3984375" customWidth="1"/>
    <col min="4097" max="4097" width="7.59765625" customWidth="1"/>
    <col min="4098" max="4098" width="5.3984375" bestFit="1" customWidth="1"/>
    <col min="4099" max="4099" width="7.59765625" customWidth="1"/>
    <col min="4100" max="4100" width="5.3984375" customWidth="1"/>
    <col min="4101" max="4101" width="7.59765625" customWidth="1"/>
    <col min="4102" max="4102" width="5.3984375" bestFit="1" customWidth="1"/>
    <col min="4103" max="4103" width="7.59765625" customWidth="1"/>
    <col min="4104" max="4104" width="5.3984375" customWidth="1"/>
    <col min="4105" max="4105" width="7.59765625" customWidth="1"/>
    <col min="4106" max="4106" width="5.3984375" bestFit="1" customWidth="1"/>
    <col min="4107" max="4107" width="7.59765625" customWidth="1"/>
    <col min="4108" max="4108" width="5.3984375" customWidth="1"/>
    <col min="4109" max="4109" width="7.59765625" customWidth="1"/>
    <col min="4110" max="4110" width="5.3984375" bestFit="1" customWidth="1"/>
    <col min="4111" max="4111" width="7.59765625" customWidth="1"/>
    <col min="4112" max="4112" width="5.3984375" customWidth="1"/>
    <col min="4113" max="4113" width="7.59765625" customWidth="1"/>
    <col min="4114" max="4114" width="5.3984375" bestFit="1" customWidth="1"/>
    <col min="4115" max="4115" width="7.59765625" customWidth="1"/>
    <col min="4116" max="4116" width="5.3984375" customWidth="1"/>
    <col min="4117" max="4117" width="7.59765625" customWidth="1"/>
    <col min="4118" max="4118" width="5.3984375" bestFit="1" customWidth="1"/>
    <col min="4119" max="4119" width="7.59765625" customWidth="1"/>
    <col min="4120" max="4120" width="5.3984375" customWidth="1"/>
    <col min="4121" max="4121" width="7.59765625" customWidth="1"/>
    <col min="4122" max="4122" width="5.3984375" bestFit="1" customWidth="1"/>
    <col min="4123" max="4123" width="7.59765625" customWidth="1"/>
    <col min="4124" max="4124" width="5.3984375" customWidth="1"/>
    <col min="4125" max="4125" width="7.59765625" customWidth="1"/>
    <col min="4126" max="4126" width="5.3984375" bestFit="1" customWidth="1"/>
    <col min="4127" max="4127" width="7.59765625" customWidth="1"/>
    <col min="4128" max="4128" width="5.3984375" customWidth="1"/>
    <col min="4129" max="4129" width="7.59765625" customWidth="1"/>
    <col min="4130" max="4130" width="5.3984375" bestFit="1" customWidth="1"/>
    <col min="4131" max="4131" width="7.59765625" customWidth="1"/>
    <col min="4132" max="4132" width="5.3984375" customWidth="1"/>
    <col min="4133" max="4133" width="7.59765625" customWidth="1"/>
    <col min="4134" max="4134" width="5.3984375" bestFit="1" customWidth="1"/>
    <col min="4135" max="4135" width="7.59765625" customWidth="1"/>
    <col min="4136" max="4136" width="5.3984375" customWidth="1"/>
    <col min="4137" max="4137" width="7.59765625" customWidth="1"/>
    <col min="4138" max="4138" width="5.3984375" bestFit="1" customWidth="1"/>
    <col min="4139" max="4139" width="7.59765625" customWidth="1"/>
    <col min="4140" max="4140" width="5.3984375" customWidth="1"/>
    <col min="4141" max="4141" width="7.59765625" customWidth="1"/>
    <col min="4142" max="4142" width="5.3984375" bestFit="1" customWidth="1"/>
    <col min="4143" max="4143" width="7.59765625" customWidth="1"/>
    <col min="4144" max="4144" width="5.3984375" customWidth="1"/>
    <col min="4145" max="4145" width="7.59765625" customWidth="1"/>
    <col min="4146" max="4146" width="5.3984375" bestFit="1" customWidth="1"/>
    <col min="4147" max="4147" width="7.59765625" customWidth="1"/>
    <col min="4148" max="4148" width="5.3984375" customWidth="1"/>
    <col min="4149" max="4149" width="7.59765625" customWidth="1"/>
    <col min="4150" max="4150" width="5.3984375" bestFit="1" customWidth="1"/>
    <col min="4151" max="4151" width="7.59765625" customWidth="1"/>
    <col min="4152" max="4152" width="5.3984375" customWidth="1"/>
    <col min="4153" max="4153" width="7.59765625" customWidth="1"/>
    <col min="4154" max="4154" width="5.3984375" bestFit="1" customWidth="1"/>
    <col min="4155" max="4155" width="7.59765625" customWidth="1"/>
    <col min="4156" max="4156" width="5.3984375" customWidth="1"/>
    <col min="4157" max="4157" width="7.59765625" customWidth="1"/>
    <col min="4158" max="4158" width="5.3984375" bestFit="1" customWidth="1"/>
    <col min="4159" max="4159" width="7.59765625" customWidth="1"/>
    <col min="4160" max="4160" width="5.3984375" customWidth="1"/>
    <col min="4161" max="4161" width="7.59765625" customWidth="1"/>
    <col min="4162" max="4162" width="5.3984375" bestFit="1" customWidth="1"/>
    <col min="4163" max="4163" width="7.59765625" customWidth="1"/>
    <col min="4164" max="4164" width="5.3984375" customWidth="1"/>
    <col min="4165" max="4165" width="7.59765625" customWidth="1"/>
    <col min="4166" max="4166" width="5.3984375" bestFit="1" customWidth="1"/>
    <col min="4168" max="4169" width="5.3984375" bestFit="1" customWidth="1"/>
    <col min="4170" max="4170" width="2.09765625" bestFit="1" customWidth="1"/>
    <col min="4321" max="4321" width="4.3984375" customWidth="1"/>
    <col min="4322" max="4322" width="30.5" customWidth="1"/>
    <col min="4325" max="4325" width="10.69921875" customWidth="1"/>
    <col min="4326" max="4326" width="5.19921875" customWidth="1"/>
    <col min="4327" max="4327" width="7.59765625" customWidth="1"/>
    <col min="4328" max="4328" width="5.3984375" customWidth="1"/>
    <col min="4329" max="4329" width="7.59765625" customWidth="1"/>
    <col min="4330" max="4330" width="6" bestFit="1" customWidth="1"/>
    <col min="4331" max="4331" width="7.59765625" customWidth="1"/>
    <col min="4332" max="4332" width="5.3984375" customWidth="1"/>
    <col min="4333" max="4333" width="7.59765625" customWidth="1"/>
    <col min="4334" max="4334" width="5.3984375" bestFit="1" customWidth="1"/>
    <col min="4335" max="4335" width="7.59765625" customWidth="1"/>
    <col min="4336" max="4336" width="5.3984375" customWidth="1"/>
    <col min="4337" max="4337" width="7.59765625" customWidth="1"/>
    <col min="4338" max="4338" width="5.3984375" bestFit="1" customWidth="1"/>
    <col min="4339" max="4339" width="7.59765625" customWidth="1"/>
    <col min="4340" max="4340" width="5.3984375" customWidth="1"/>
    <col min="4341" max="4341" width="7.59765625" customWidth="1"/>
    <col min="4342" max="4342" width="5.3984375" bestFit="1" customWidth="1"/>
    <col min="4343" max="4343" width="7.59765625" customWidth="1"/>
    <col min="4344" max="4344" width="5.3984375" customWidth="1"/>
    <col min="4345" max="4345" width="7.59765625" customWidth="1"/>
    <col min="4346" max="4346" width="5.3984375" bestFit="1" customWidth="1"/>
    <col min="4347" max="4347" width="7.59765625" customWidth="1"/>
    <col min="4348" max="4348" width="5.3984375" customWidth="1"/>
    <col min="4349" max="4349" width="7.59765625" customWidth="1"/>
    <col min="4350" max="4350" width="5.3984375" bestFit="1" customWidth="1"/>
    <col min="4351" max="4351" width="7.59765625" customWidth="1"/>
    <col min="4352" max="4352" width="5.3984375" customWidth="1"/>
    <col min="4353" max="4353" width="7.59765625" customWidth="1"/>
    <col min="4354" max="4354" width="5.3984375" bestFit="1" customWidth="1"/>
    <col min="4355" max="4355" width="7.59765625" customWidth="1"/>
    <col min="4356" max="4356" width="5.3984375" customWidth="1"/>
    <col min="4357" max="4357" width="7.59765625" customWidth="1"/>
    <col min="4358" max="4358" width="5.3984375" bestFit="1" customWidth="1"/>
    <col min="4359" max="4359" width="7.59765625" customWidth="1"/>
    <col min="4360" max="4360" width="5.3984375" customWidth="1"/>
    <col min="4361" max="4361" width="7.59765625" customWidth="1"/>
    <col min="4362" max="4362" width="5.3984375" bestFit="1" customWidth="1"/>
    <col min="4363" max="4363" width="7.59765625" customWidth="1"/>
    <col min="4364" max="4364" width="5.3984375" customWidth="1"/>
    <col min="4365" max="4365" width="7.59765625" customWidth="1"/>
    <col min="4366" max="4366" width="5.3984375" bestFit="1" customWidth="1"/>
    <col min="4367" max="4367" width="7.59765625" customWidth="1"/>
    <col min="4368" max="4368" width="5.3984375" customWidth="1"/>
    <col min="4369" max="4369" width="7.59765625" customWidth="1"/>
    <col min="4370" max="4370" width="5.3984375" bestFit="1" customWidth="1"/>
    <col min="4371" max="4371" width="7.59765625" customWidth="1"/>
    <col min="4372" max="4372" width="5.3984375" customWidth="1"/>
    <col min="4373" max="4373" width="7.59765625" customWidth="1"/>
    <col min="4374" max="4374" width="5.3984375" bestFit="1" customWidth="1"/>
    <col min="4375" max="4375" width="7.59765625" customWidth="1"/>
    <col min="4376" max="4376" width="5.3984375" customWidth="1"/>
    <col min="4377" max="4377" width="7.59765625" customWidth="1"/>
    <col min="4378" max="4378" width="5.3984375" bestFit="1" customWidth="1"/>
    <col min="4379" max="4379" width="7.59765625" customWidth="1"/>
    <col min="4380" max="4380" width="5.3984375" customWidth="1"/>
    <col min="4381" max="4381" width="7.59765625" customWidth="1"/>
    <col min="4382" max="4382" width="5.3984375" bestFit="1" customWidth="1"/>
    <col min="4383" max="4383" width="7.59765625" customWidth="1"/>
    <col min="4384" max="4384" width="5.3984375" customWidth="1"/>
    <col min="4385" max="4385" width="7.59765625" customWidth="1"/>
    <col min="4386" max="4386" width="5.3984375" bestFit="1" customWidth="1"/>
    <col min="4387" max="4387" width="7.59765625" customWidth="1"/>
    <col min="4388" max="4388" width="5.3984375" customWidth="1"/>
    <col min="4389" max="4389" width="7.59765625" customWidth="1"/>
    <col min="4390" max="4390" width="5.3984375" bestFit="1" customWidth="1"/>
    <col min="4391" max="4391" width="7.59765625" customWidth="1"/>
    <col min="4392" max="4392" width="5.3984375" customWidth="1"/>
    <col min="4393" max="4393" width="7.59765625" customWidth="1"/>
    <col min="4394" max="4394" width="5.3984375" bestFit="1" customWidth="1"/>
    <col min="4395" max="4395" width="7.59765625" customWidth="1"/>
    <col min="4396" max="4396" width="5.3984375" customWidth="1"/>
    <col min="4397" max="4397" width="7.59765625" customWidth="1"/>
    <col min="4398" max="4398" width="5.3984375" bestFit="1" customWidth="1"/>
    <col min="4399" max="4399" width="7.59765625" customWidth="1"/>
    <col min="4400" max="4400" width="5.3984375" customWidth="1"/>
    <col min="4401" max="4401" width="7.59765625" customWidth="1"/>
    <col min="4402" max="4402" width="5.3984375" bestFit="1" customWidth="1"/>
    <col min="4403" max="4403" width="7.59765625" customWidth="1"/>
    <col min="4404" max="4404" width="5.3984375" customWidth="1"/>
    <col min="4405" max="4405" width="7.59765625" customWidth="1"/>
    <col min="4406" max="4406" width="5.3984375" bestFit="1" customWidth="1"/>
    <col min="4407" max="4407" width="7.59765625" customWidth="1"/>
    <col min="4408" max="4408" width="5.3984375" customWidth="1"/>
    <col min="4409" max="4409" width="7.59765625" customWidth="1"/>
    <col min="4410" max="4410" width="5.3984375" bestFit="1" customWidth="1"/>
    <col min="4411" max="4411" width="7.59765625" customWidth="1"/>
    <col min="4412" max="4412" width="5.3984375" customWidth="1"/>
    <col min="4413" max="4413" width="7.59765625" customWidth="1"/>
    <col min="4414" max="4414" width="5.3984375" bestFit="1" customWidth="1"/>
    <col min="4415" max="4415" width="7.59765625" customWidth="1"/>
    <col min="4416" max="4416" width="5.3984375" customWidth="1"/>
    <col min="4417" max="4417" width="7.59765625" customWidth="1"/>
    <col min="4418" max="4418" width="5.3984375" bestFit="1" customWidth="1"/>
    <col min="4419" max="4419" width="7.59765625" customWidth="1"/>
    <col min="4420" max="4420" width="5.3984375" customWidth="1"/>
    <col min="4421" max="4421" width="7.59765625" customWidth="1"/>
    <col min="4422" max="4422" width="5.3984375" bestFit="1" customWidth="1"/>
    <col min="4424" max="4425" width="5.3984375" bestFit="1" customWidth="1"/>
    <col min="4426" max="4426" width="2.09765625" bestFit="1" customWidth="1"/>
    <col min="4577" max="4577" width="4.3984375" customWidth="1"/>
    <col min="4578" max="4578" width="30.5" customWidth="1"/>
    <col min="4581" max="4581" width="10.69921875" customWidth="1"/>
    <col min="4582" max="4582" width="5.19921875" customWidth="1"/>
    <col min="4583" max="4583" width="7.59765625" customWidth="1"/>
    <col min="4584" max="4584" width="5.3984375" customWidth="1"/>
    <col min="4585" max="4585" width="7.59765625" customWidth="1"/>
    <col min="4586" max="4586" width="6" bestFit="1" customWidth="1"/>
    <col min="4587" max="4587" width="7.59765625" customWidth="1"/>
    <col min="4588" max="4588" width="5.3984375" customWidth="1"/>
    <col min="4589" max="4589" width="7.59765625" customWidth="1"/>
    <col min="4590" max="4590" width="5.3984375" bestFit="1" customWidth="1"/>
    <col min="4591" max="4591" width="7.59765625" customWidth="1"/>
    <col min="4592" max="4592" width="5.3984375" customWidth="1"/>
    <col min="4593" max="4593" width="7.59765625" customWidth="1"/>
    <col min="4594" max="4594" width="5.3984375" bestFit="1" customWidth="1"/>
    <col min="4595" max="4595" width="7.59765625" customWidth="1"/>
    <col min="4596" max="4596" width="5.3984375" customWidth="1"/>
    <col min="4597" max="4597" width="7.59765625" customWidth="1"/>
    <col min="4598" max="4598" width="5.3984375" bestFit="1" customWidth="1"/>
    <col min="4599" max="4599" width="7.59765625" customWidth="1"/>
    <col min="4600" max="4600" width="5.3984375" customWidth="1"/>
    <col min="4601" max="4601" width="7.59765625" customWidth="1"/>
    <col min="4602" max="4602" width="5.3984375" bestFit="1" customWidth="1"/>
    <col min="4603" max="4603" width="7.59765625" customWidth="1"/>
    <col min="4604" max="4604" width="5.3984375" customWidth="1"/>
    <col min="4605" max="4605" width="7.59765625" customWidth="1"/>
    <col min="4606" max="4606" width="5.3984375" bestFit="1" customWidth="1"/>
    <col min="4607" max="4607" width="7.59765625" customWidth="1"/>
    <col min="4608" max="4608" width="5.3984375" customWidth="1"/>
    <col min="4609" max="4609" width="7.59765625" customWidth="1"/>
    <col min="4610" max="4610" width="5.3984375" bestFit="1" customWidth="1"/>
    <col min="4611" max="4611" width="7.59765625" customWidth="1"/>
    <col min="4612" max="4612" width="5.3984375" customWidth="1"/>
    <col min="4613" max="4613" width="7.59765625" customWidth="1"/>
    <col min="4614" max="4614" width="5.3984375" bestFit="1" customWidth="1"/>
    <col min="4615" max="4615" width="7.59765625" customWidth="1"/>
    <col min="4616" max="4616" width="5.3984375" customWidth="1"/>
    <col min="4617" max="4617" width="7.59765625" customWidth="1"/>
    <col min="4618" max="4618" width="5.3984375" bestFit="1" customWidth="1"/>
    <col min="4619" max="4619" width="7.59765625" customWidth="1"/>
    <col min="4620" max="4620" width="5.3984375" customWidth="1"/>
    <col min="4621" max="4621" width="7.59765625" customWidth="1"/>
    <col min="4622" max="4622" width="5.3984375" bestFit="1" customWidth="1"/>
    <col min="4623" max="4623" width="7.59765625" customWidth="1"/>
    <col min="4624" max="4624" width="5.3984375" customWidth="1"/>
    <col min="4625" max="4625" width="7.59765625" customWidth="1"/>
    <col min="4626" max="4626" width="5.3984375" bestFit="1" customWidth="1"/>
    <col min="4627" max="4627" width="7.59765625" customWidth="1"/>
    <col min="4628" max="4628" width="5.3984375" customWidth="1"/>
    <col min="4629" max="4629" width="7.59765625" customWidth="1"/>
    <col min="4630" max="4630" width="5.3984375" bestFit="1" customWidth="1"/>
    <col min="4631" max="4631" width="7.59765625" customWidth="1"/>
    <col min="4632" max="4632" width="5.3984375" customWidth="1"/>
    <col min="4633" max="4633" width="7.59765625" customWidth="1"/>
    <col min="4634" max="4634" width="5.3984375" bestFit="1" customWidth="1"/>
    <col min="4635" max="4635" width="7.59765625" customWidth="1"/>
    <col min="4636" max="4636" width="5.3984375" customWidth="1"/>
    <col min="4637" max="4637" width="7.59765625" customWidth="1"/>
    <col min="4638" max="4638" width="5.3984375" bestFit="1" customWidth="1"/>
    <col min="4639" max="4639" width="7.59765625" customWidth="1"/>
    <col min="4640" max="4640" width="5.3984375" customWidth="1"/>
    <col min="4641" max="4641" width="7.59765625" customWidth="1"/>
    <col min="4642" max="4642" width="5.3984375" bestFit="1" customWidth="1"/>
    <col min="4643" max="4643" width="7.59765625" customWidth="1"/>
    <col min="4644" max="4644" width="5.3984375" customWidth="1"/>
    <col min="4645" max="4645" width="7.59765625" customWidth="1"/>
    <col min="4646" max="4646" width="5.3984375" bestFit="1" customWidth="1"/>
    <col min="4647" max="4647" width="7.59765625" customWidth="1"/>
    <col min="4648" max="4648" width="5.3984375" customWidth="1"/>
    <col min="4649" max="4649" width="7.59765625" customWidth="1"/>
    <col min="4650" max="4650" width="5.3984375" bestFit="1" customWidth="1"/>
    <col min="4651" max="4651" width="7.59765625" customWidth="1"/>
    <col min="4652" max="4652" width="5.3984375" customWidth="1"/>
    <col min="4653" max="4653" width="7.59765625" customWidth="1"/>
    <col min="4654" max="4654" width="5.3984375" bestFit="1" customWidth="1"/>
    <col min="4655" max="4655" width="7.59765625" customWidth="1"/>
    <col min="4656" max="4656" width="5.3984375" customWidth="1"/>
    <col min="4657" max="4657" width="7.59765625" customWidth="1"/>
    <col min="4658" max="4658" width="5.3984375" bestFit="1" customWidth="1"/>
    <col min="4659" max="4659" width="7.59765625" customWidth="1"/>
    <col min="4660" max="4660" width="5.3984375" customWidth="1"/>
    <col min="4661" max="4661" width="7.59765625" customWidth="1"/>
    <col min="4662" max="4662" width="5.3984375" bestFit="1" customWidth="1"/>
    <col min="4663" max="4663" width="7.59765625" customWidth="1"/>
    <col min="4664" max="4664" width="5.3984375" customWidth="1"/>
    <col min="4665" max="4665" width="7.59765625" customWidth="1"/>
    <col min="4666" max="4666" width="5.3984375" bestFit="1" customWidth="1"/>
    <col min="4667" max="4667" width="7.59765625" customWidth="1"/>
    <col min="4668" max="4668" width="5.3984375" customWidth="1"/>
    <col min="4669" max="4669" width="7.59765625" customWidth="1"/>
    <col min="4670" max="4670" width="5.3984375" bestFit="1" customWidth="1"/>
    <col min="4671" max="4671" width="7.59765625" customWidth="1"/>
    <col min="4672" max="4672" width="5.3984375" customWidth="1"/>
    <col min="4673" max="4673" width="7.59765625" customWidth="1"/>
    <col min="4674" max="4674" width="5.3984375" bestFit="1" customWidth="1"/>
    <col min="4675" max="4675" width="7.59765625" customWidth="1"/>
    <col min="4676" max="4676" width="5.3984375" customWidth="1"/>
    <col min="4677" max="4677" width="7.59765625" customWidth="1"/>
    <col min="4678" max="4678" width="5.3984375" bestFit="1" customWidth="1"/>
    <col min="4680" max="4681" width="5.3984375" bestFit="1" customWidth="1"/>
    <col min="4682" max="4682" width="2.09765625" bestFit="1" customWidth="1"/>
    <col min="4833" max="4833" width="4.3984375" customWidth="1"/>
    <col min="4834" max="4834" width="30.5" customWidth="1"/>
    <col min="4837" max="4837" width="10.69921875" customWidth="1"/>
    <col min="4838" max="4838" width="5.19921875" customWidth="1"/>
    <col min="4839" max="4839" width="7.59765625" customWidth="1"/>
    <col min="4840" max="4840" width="5.3984375" customWidth="1"/>
    <col min="4841" max="4841" width="7.59765625" customWidth="1"/>
    <col min="4842" max="4842" width="6" bestFit="1" customWidth="1"/>
    <col min="4843" max="4843" width="7.59765625" customWidth="1"/>
    <col min="4844" max="4844" width="5.3984375" customWidth="1"/>
    <col min="4845" max="4845" width="7.59765625" customWidth="1"/>
    <col min="4846" max="4846" width="5.3984375" bestFit="1" customWidth="1"/>
    <col min="4847" max="4847" width="7.59765625" customWidth="1"/>
    <col min="4848" max="4848" width="5.3984375" customWidth="1"/>
    <col min="4849" max="4849" width="7.59765625" customWidth="1"/>
    <col min="4850" max="4850" width="5.3984375" bestFit="1" customWidth="1"/>
    <col min="4851" max="4851" width="7.59765625" customWidth="1"/>
    <col min="4852" max="4852" width="5.3984375" customWidth="1"/>
    <col min="4853" max="4853" width="7.59765625" customWidth="1"/>
    <col min="4854" max="4854" width="5.3984375" bestFit="1" customWidth="1"/>
    <col min="4855" max="4855" width="7.59765625" customWidth="1"/>
    <col min="4856" max="4856" width="5.3984375" customWidth="1"/>
    <col min="4857" max="4857" width="7.59765625" customWidth="1"/>
    <col min="4858" max="4858" width="5.3984375" bestFit="1" customWidth="1"/>
    <col min="4859" max="4859" width="7.59765625" customWidth="1"/>
    <col min="4860" max="4860" width="5.3984375" customWidth="1"/>
    <col min="4861" max="4861" width="7.59765625" customWidth="1"/>
    <col min="4862" max="4862" width="5.3984375" bestFit="1" customWidth="1"/>
    <col min="4863" max="4863" width="7.59765625" customWidth="1"/>
    <col min="4864" max="4864" width="5.3984375" customWidth="1"/>
    <col min="4865" max="4865" width="7.59765625" customWidth="1"/>
    <col min="4866" max="4866" width="5.3984375" bestFit="1" customWidth="1"/>
    <col min="4867" max="4867" width="7.59765625" customWidth="1"/>
    <col min="4868" max="4868" width="5.3984375" customWidth="1"/>
    <col min="4869" max="4869" width="7.59765625" customWidth="1"/>
    <col min="4870" max="4870" width="5.3984375" bestFit="1" customWidth="1"/>
    <col min="4871" max="4871" width="7.59765625" customWidth="1"/>
    <col min="4872" max="4872" width="5.3984375" customWidth="1"/>
    <col min="4873" max="4873" width="7.59765625" customWidth="1"/>
    <col min="4874" max="4874" width="5.3984375" bestFit="1" customWidth="1"/>
    <col min="4875" max="4875" width="7.59765625" customWidth="1"/>
    <col min="4876" max="4876" width="5.3984375" customWidth="1"/>
    <col min="4877" max="4877" width="7.59765625" customWidth="1"/>
    <col min="4878" max="4878" width="5.3984375" bestFit="1" customWidth="1"/>
    <col min="4879" max="4879" width="7.59765625" customWidth="1"/>
    <col min="4880" max="4880" width="5.3984375" customWidth="1"/>
    <col min="4881" max="4881" width="7.59765625" customWidth="1"/>
    <col min="4882" max="4882" width="5.3984375" bestFit="1" customWidth="1"/>
    <col min="4883" max="4883" width="7.59765625" customWidth="1"/>
    <col min="4884" max="4884" width="5.3984375" customWidth="1"/>
    <col min="4885" max="4885" width="7.59765625" customWidth="1"/>
    <col min="4886" max="4886" width="5.3984375" bestFit="1" customWidth="1"/>
    <col min="4887" max="4887" width="7.59765625" customWidth="1"/>
    <col min="4888" max="4888" width="5.3984375" customWidth="1"/>
    <col min="4889" max="4889" width="7.59765625" customWidth="1"/>
    <col min="4890" max="4890" width="5.3984375" bestFit="1" customWidth="1"/>
    <col min="4891" max="4891" width="7.59765625" customWidth="1"/>
    <col min="4892" max="4892" width="5.3984375" customWidth="1"/>
    <col min="4893" max="4893" width="7.59765625" customWidth="1"/>
    <col min="4894" max="4894" width="5.3984375" bestFit="1" customWidth="1"/>
    <col min="4895" max="4895" width="7.59765625" customWidth="1"/>
    <col min="4896" max="4896" width="5.3984375" customWidth="1"/>
    <col min="4897" max="4897" width="7.59765625" customWidth="1"/>
    <col min="4898" max="4898" width="5.3984375" bestFit="1" customWidth="1"/>
    <col min="4899" max="4899" width="7.59765625" customWidth="1"/>
    <col min="4900" max="4900" width="5.3984375" customWidth="1"/>
    <col min="4901" max="4901" width="7.59765625" customWidth="1"/>
    <col min="4902" max="4902" width="5.3984375" bestFit="1" customWidth="1"/>
    <col min="4903" max="4903" width="7.59765625" customWidth="1"/>
    <col min="4904" max="4904" width="5.3984375" customWidth="1"/>
    <col min="4905" max="4905" width="7.59765625" customWidth="1"/>
    <col min="4906" max="4906" width="5.3984375" bestFit="1" customWidth="1"/>
    <col min="4907" max="4907" width="7.59765625" customWidth="1"/>
    <col min="4908" max="4908" width="5.3984375" customWidth="1"/>
    <col min="4909" max="4909" width="7.59765625" customWidth="1"/>
    <col min="4910" max="4910" width="5.3984375" bestFit="1" customWidth="1"/>
    <col min="4911" max="4911" width="7.59765625" customWidth="1"/>
    <col min="4912" max="4912" width="5.3984375" customWidth="1"/>
    <col min="4913" max="4913" width="7.59765625" customWidth="1"/>
    <col min="4914" max="4914" width="5.3984375" bestFit="1" customWidth="1"/>
    <col min="4915" max="4915" width="7.59765625" customWidth="1"/>
    <col min="4916" max="4916" width="5.3984375" customWidth="1"/>
    <col min="4917" max="4917" width="7.59765625" customWidth="1"/>
    <col min="4918" max="4918" width="5.3984375" bestFit="1" customWidth="1"/>
    <col min="4919" max="4919" width="7.59765625" customWidth="1"/>
    <col min="4920" max="4920" width="5.3984375" customWidth="1"/>
    <col min="4921" max="4921" width="7.59765625" customWidth="1"/>
    <col min="4922" max="4922" width="5.3984375" bestFit="1" customWidth="1"/>
    <col min="4923" max="4923" width="7.59765625" customWidth="1"/>
    <col min="4924" max="4924" width="5.3984375" customWidth="1"/>
    <col min="4925" max="4925" width="7.59765625" customWidth="1"/>
    <col min="4926" max="4926" width="5.3984375" bestFit="1" customWidth="1"/>
    <col min="4927" max="4927" width="7.59765625" customWidth="1"/>
    <col min="4928" max="4928" width="5.3984375" customWidth="1"/>
    <col min="4929" max="4929" width="7.59765625" customWidth="1"/>
    <col min="4930" max="4930" width="5.3984375" bestFit="1" customWidth="1"/>
    <col min="4931" max="4931" width="7.59765625" customWidth="1"/>
    <col min="4932" max="4932" width="5.3984375" customWidth="1"/>
    <col min="4933" max="4933" width="7.59765625" customWidth="1"/>
    <col min="4934" max="4934" width="5.3984375" bestFit="1" customWidth="1"/>
    <col min="4936" max="4937" width="5.3984375" bestFit="1" customWidth="1"/>
    <col min="4938" max="4938" width="2.09765625" bestFit="1" customWidth="1"/>
    <col min="5089" max="5089" width="4.3984375" customWidth="1"/>
    <col min="5090" max="5090" width="30.5" customWidth="1"/>
    <col min="5093" max="5093" width="10.69921875" customWidth="1"/>
    <col min="5094" max="5094" width="5.19921875" customWidth="1"/>
    <col min="5095" max="5095" width="7.59765625" customWidth="1"/>
    <col min="5096" max="5096" width="5.3984375" customWidth="1"/>
    <col min="5097" max="5097" width="7.59765625" customWidth="1"/>
    <col min="5098" max="5098" width="6" bestFit="1" customWidth="1"/>
    <col min="5099" max="5099" width="7.59765625" customWidth="1"/>
    <col min="5100" max="5100" width="5.3984375" customWidth="1"/>
    <col min="5101" max="5101" width="7.59765625" customWidth="1"/>
    <col min="5102" max="5102" width="5.3984375" bestFit="1" customWidth="1"/>
    <col min="5103" max="5103" width="7.59765625" customWidth="1"/>
    <col min="5104" max="5104" width="5.3984375" customWidth="1"/>
    <col min="5105" max="5105" width="7.59765625" customWidth="1"/>
    <col min="5106" max="5106" width="5.3984375" bestFit="1" customWidth="1"/>
    <col min="5107" max="5107" width="7.59765625" customWidth="1"/>
    <col min="5108" max="5108" width="5.3984375" customWidth="1"/>
    <col min="5109" max="5109" width="7.59765625" customWidth="1"/>
    <col min="5110" max="5110" width="5.3984375" bestFit="1" customWidth="1"/>
    <col min="5111" max="5111" width="7.59765625" customWidth="1"/>
    <col min="5112" max="5112" width="5.3984375" customWidth="1"/>
    <col min="5113" max="5113" width="7.59765625" customWidth="1"/>
    <col min="5114" max="5114" width="5.3984375" bestFit="1" customWidth="1"/>
    <col min="5115" max="5115" width="7.59765625" customWidth="1"/>
    <col min="5116" max="5116" width="5.3984375" customWidth="1"/>
    <col min="5117" max="5117" width="7.59765625" customWidth="1"/>
    <col min="5118" max="5118" width="5.3984375" bestFit="1" customWidth="1"/>
    <col min="5119" max="5119" width="7.59765625" customWidth="1"/>
    <col min="5120" max="5120" width="5.3984375" customWidth="1"/>
    <col min="5121" max="5121" width="7.59765625" customWidth="1"/>
    <col min="5122" max="5122" width="5.3984375" bestFit="1" customWidth="1"/>
    <col min="5123" max="5123" width="7.59765625" customWidth="1"/>
    <col min="5124" max="5124" width="5.3984375" customWidth="1"/>
    <col min="5125" max="5125" width="7.59765625" customWidth="1"/>
    <col min="5126" max="5126" width="5.3984375" bestFit="1" customWidth="1"/>
    <col min="5127" max="5127" width="7.59765625" customWidth="1"/>
    <col min="5128" max="5128" width="5.3984375" customWidth="1"/>
    <col min="5129" max="5129" width="7.59765625" customWidth="1"/>
    <col min="5130" max="5130" width="5.3984375" bestFit="1" customWidth="1"/>
    <col min="5131" max="5131" width="7.59765625" customWidth="1"/>
    <col min="5132" max="5132" width="5.3984375" customWidth="1"/>
    <col min="5133" max="5133" width="7.59765625" customWidth="1"/>
    <col min="5134" max="5134" width="5.3984375" bestFit="1" customWidth="1"/>
    <col min="5135" max="5135" width="7.59765625" customWidth="1"/>
    <col min="5136" max="5136" width="5.3984375" customWidth="1"/>
    <col min="5137" max="5137" width="7.59765625" customWidth="1"/>
    <col min="5138" max="5138" width="5.3984375" bestFit="1" customWidth="1"/>
    <col min="5139" max="5139" width="7.59765625" customWidth="1"/>
    <col min="5140" max="5140" width="5.3984375" customWidth="1"/>
    <col min="5141" max="5141" width="7.59765625" customWidth="1"/>
    <col min="5142" max="5142" width="5.3984375" bestFit="1" customWidth="1"/>
    <col min="5143" max="5143" width="7.59765625" customWidth="1"/>
    <col min="5144" max="5144" width="5.3984375" customWidth="1"/>
    <col min="5145" max="5145" width="7.59765625" customWidth="1"/>
    <col min="5146" max="5146" width="5.3984375" bestFit="1" customWidth="1"/>
    <col min="5147" max="5147" width="7.59765625" customWidth="1"/>
    <col min="5148" max="5148" width="5.3984375" customWidth="1"/>
    <col min="5149" max="5149" width="7.59765625" customWidth="1"/>
    <col min="5150" max="5150" width="5.3984375" bestFit="1" customWidth="1"/>
    <col min="5151" max="5151" width="7.59765625" customWidth="1"/>
    <col min="5152" max="5152" width="5.3984375" customWidth="1"/>
    <col min="5153" max="5153" width="7.59765625" customWidth="1"/>
    <col min="5154" max="5154" width="5.3984375" bestFit="1" customWidth="1"/>
    <col min="5155" max="5155" width="7.59765625" customWidth="1"/>
    <col min="5156" max="5156" width="5.3984375" customWidth="1"/>
    <col min="5157" max="5157" width="7.59765625" customWidth="1"/>
    <col min="5158" max="5158" width="5.3984375" bestFit="1" customWidth="1"/>
    <col min="5159" max="5159" width="7.59765625" customWidth="1"/>
    <col min="5160" max="5160" width="5.3984375" customWidth="1"/>
    <col min="5161" max="5161" width="7.59765625" customWidth="1"/>
    <col min="5162" max="5162" width="5.3984375" bestFit="1" customWidth="1"/>
    <col min="5163" max="5163" width="7.59765625" customWidth="1"/>
    <col min="5164" max="5164" width="5.3984375" customWidth="1"/>
    <col min="5165" max="5165" width="7.59765625" customWidth="1"/>
    <col min="5166" max="5166" width="5.3984375" bestFit="1" customWidth="1"/>
    <col min="5167" max="5167" width="7.59765625" customWidth="1"/>
    <col min="5168" max="5168" width="5.3984375" customWidth="1"/>
    <col min="5169" max="5169" width="7.59765625" customWidth="1"/>
    <col min="5170" max="5170" width="5.3984375" bestFit="1" customWidth="1"/>
    <col min="5171" max="5171" width="7.59765625" customWidth="1"/>
    <col min="5172" max="5172" width="5.3984375" customWidth="1"/>
    <col min="5173" max="5173" width="7.59765625" customWidth="1"/>
    <col min="5174" max="5174" width="5.3984375" bestFit="1" customWidth="1"/>
    <col min="5175" max="5175" width="7.59765625" customWidth="1"/>
    <col min="5176" max="5176" width="5.3984375" customWidth="1"/>
    <col min="5177" max="5177" width="7.59765625" customWidth="1"/>
    <col min="5178" max="5178" width="5.3984375" bestFit="1" customWidth="1"/>
    <col min="5179" max="5179" width="7.59765625" customWidth="1"/>
    <col min="5180" max="5180" width="5.3984375" customWidth="1"/>
    <col min="5181" max="5181" width="7.59765625" customWidth="1"/>
    <col min="5182" max="5182" width="5.3984375" bestFit="1" customWidth="1"/>
    <col min="5183" max="5183" width="7.59765625" customWidth="1"/>
    <col min="5184" max="5184" width="5.3984375" customWidth="1"/>
    <col min="5185" max="5185" width="7.59765625" customWidth="1"/>
    <col min="5186" max="5186" width="5.3984375" bestFit="1" customWidth="1"/>
    <col min="5187" max="5187" width="7.59765625" customWidth="1"/>
    <col min="5188" max="5188" width="5.3984375" customWidth="1"/>
    <col min="5189" max="5189" width="7.59765625" customWidth="1"/>
    <col min="5190" max="5190" width="5.3984375" bestFit="1" customWidth="1"/>
    <col min="5192" max="5193" width="5.3984375" bestFit="1" customWidth="1"/>
    <col min="5194" max="5194" width="2.09765625" bestFit="1" customWidth="1"/>
    <col min="5345" max="5345" width="4.3984375" customWidth="1"/>
    <col min="5346" max="5346" width="30.5" customWidth="1"/>
    <col min="5349" max="5349" width="10.69921875" customWidth="1"/>
    <col min="5350" max="5350" width="5.19921875" customWidth="1"/>
    <col min="5351" max="5351" width="7.59765625" customWidth="1"/>
    <col min="5352" max="5352" width="5.3984375" customWidth="1"/>
    <col min="5353" max="5353" width="7.59765625" customWidth="1"/>
    <col min="5354" max="5354" width="6" bestFit="1" customWidth="1"/>
    <col min="5355" max="5355" width="7.59765625" customWidth="1"/>
    <col min="5356" max="5356" width="5.3984375" customWidth="1"/>
    <col min="5357" max="5357" width="7.59765625" customWidth="1"/>
    <col min="5358" max="5358" width="5.3984375" bestFit="1" customWidth="1"/>
    <col min="5359" max="5359" width="7.59765625" customWidth="1"/>
    <col min="5360" max="5360" width="5.3984375" customWidth="1"/>
    <col min="5361" max="5361" width="7.59765625" customWidth="1"/>
    <col min="5362" max="5362" width="5.3984375" bestFit="1" customWidth="1"/>
    <col min="5363" max="5363" width="7.59765625" customWidth="1"/>
    <col min="5364" max="5364" width="5.3984375" customWidth="1"/>
    <col min="5365" max="5365" width="7.59765625" customWidth="1"/>
    <col min="5366" max="5366" width="5.3984375" bestFit="1" customWidth="1"/>
    <col min="5367" max="5367" width="7.59765625" customWidth="1"/>
    <col min="5368" max="5368" width="5.3984375" customWidth="1"/>
    <col min="5369" max="5369" width="7.59765625" customWidth="1"/>
    <col min="5370" max="5370" width="5.3984375" bestFit="1" customWidth="1"/>
    <col min="5371" max="5371" width="7.59765625" customWidth="1"/>
    <col min="5372" max="5372" width="5.3984375" customWidth="1"/>
    <col min="5373" max="5373" width="7.59765625" customWidth="1"/>
    <col min="5374" max="5374" width="5.3984375" bestFit="1" customWidth="1"/>
    <col min="5375" max="5375" width="7.59765625" customWidth="1"/>
    <col min="5376" max="5376" width="5.3984375" customWidth="1"/>
    <col min="5377" max="5377" width="7.59765625" customWidth="1"/>
    <col min="5378" max="5378" width="5.3984375" bestFit="1" customWidth="1"/>
    <col min="5379" max="5379" width="7.59765625" customWidth="1"/>
    <col min="5380" max="5380" width="5.3984375" customWidth="1"/>
    <col min="5381" max="5381" width="7.59765625" customWidth="1"/>
    <col min="5382" max="5382" width="5.3984375" bestFit="1" customWidth="1"/>
    <col min="5383" max="5383" width="7.59765625" customWidth="1"/>
    <col min="5384" max="5384" width="5.3984375" customWidth="1"/>
    <col min="5385" max="5385" width="7.59765625" customWidth="1"/>
    <col min="5386" max="5386" width="5.3984375" bestFit="1" customWidth="1"/>
    <col min="5387" max="5387" width="7.59765625" customWidth="1"/>
    <col min="5388" max="5388" width="5.3984375" customWidth="1"/>
    <col min="5389" max="5389" width="7.59765625" customWidth="1"/>
    <col min="5390" max="5390" width="5.3984375" bestFit="1" customWidth="1"/>
    <col min="5391" max="5391" width="7.59765625" customWidth="1"/>
    <col min="5392" max="5392" width="5.3984375" customWidth="1"/>
    <col min="5393" max="5393" width="7.59765625" customWidth="1"/>
    <col min="5394" max="5394" width="5.3984375" bestFit="1" customWidth="1"/>
    <col min="5395" max="5395" width="7.59765625" customWidth="1"/>
    <col min="5396" max="5396" width="5.3984375" customWidth="1"/>
    <col min="5397" max="5397" width="7.59765625" customWidth="1"/>
    <col min="5398" max="5398" width="5.3984375" bestFit="1" customWidth="1"/>
    <col min="5399" max="5399" width="7.59765625" customWidth="1"/>
    <col min="5400" max="5400" width="5.3984375" customWidth="1"/>
    <col min="5401" max="5401" width="7.59765625" customWidth="1"/>
    <col min="5402" max="5402" width="5.3984375" bestFit="1" customWidth="1"/>
    <col min="5403" max="5403" width="7.59765625" customWidth="1"/>
    <col min="5404" max="5404" width="5.3984375" customWidth="1"/>
    <col min="5405" max="5405" width="7.59765625" customWidth="1"/>
    <col min="5406" max="5406" width="5.3984375" bestFit="1" customWidth="1"/>
    <col min="5407" max="5407" width="7.59765625" customWidth="1"/>
    <col min="5408" max="5408" width="5.3984375" customWidth="1"/>
    <col min="5409" max="5409" width="7.59765625" customWidth="1"/>
    <col min="5410" max="5410" width="5.3984375" bestFit="1" customWidth="1"/>
    <col min="5411" max="5411" width="7.59765625" customWidth="1"/>
    <col min="5412" max="5412" width="5.3984375" customWidth="1"/>
    <col min="5413" max="5413" width="7.59765625" customWidth="1"/>
    <col min="5414" max="5414" width="5.3984375" bestFit="1" customWidth="1"/>
    <col min="5415" max="5415" width="7.59765625" customWidth="1"/>
    <col min="5416" max="5416" width="5.3984375" customWidth="1"/>
    <col min="5417" max="5417" width="7.59765625" customWidth="1"/>
    <col min="5418" max="5418" width="5.3984375" bestFit="1" customWidth="1"/>
    <col min="5419" max="5419" width="7.59765625" customWidth="1"/>
    <col min="5420" max="5420" width="5.3984375" customWidth="1"/>
    <col min="5421" max="5421" width="7.59765625" customWidth="1"/>
    <col min="5422" max="5422" width="5.3984375" bestFit="1" customWidth="1"/>
    <col min="5423" max="5423" width="7.59765625" customWidth="1"/>
    <col min="5424" max="5424" width="5.3984375" customWidth="1"/>
    <col min="5425" max="5425" width="7.59765625" customWidth="1"/>
    <col min="5426" max="5426" width="5.3984375" bestFit="1" customWidth="1"/>
    <col min="5427" max="5427" width="7.59765625" customWidth="1"/>
    <col min="5428" max="5428" width="5.3984375" customWidth="1"/>
    <col min="5429" max="5429" width="7.59765625" customWidth="1"/>
    <col min="5430" max="5430" width="5.3984375" bestFit="1" customWidth="1"/>
    <col min="5431" max="5431" width="7.59765625" customWidth="1"/>
    <col min="5432" max="5432" width="5.3984375" customWidth="1"/>
    <col min="5433" max="5433" width="7.59765625" customWidth="1"/>
    <col min="5434" max="5434" width="5.3984375" bestFit="1" customWidth="1"/>
    <col min="5435" max="5435" width="7.59765625" customWidth="1"/>
    <col min="5436" max="5436" width="5.3984375" customWidth="1"/>
    <col min="5437" max="5437" width="7.59765625" customWidth="1"/>
    <col min="5438" max="5438" width="5.3984375" bestFit="1" customWidth="1"/>
    <col min="5439" max="5439" width="7.59765625" customWidth="1"/>
    <col min="5440" max="5440" width="5.3984375" customWidth="1"/>
    <col min="5441" max="5441" width="7.59765625" customWidth="1"/>
    <col min="5442" max="5442" width="5.3984375" bestFit="1" customWidth="1"/>
    <col min="5443" max="5443" width="7.59765625" customWidth="1"/>
    <col min="5444" max="5444" width="5.3984375" customWidth="1"/>
    <col min="5445" max="5445" width="7.59765625" customWidth="1"/>
    <col min="5446" max="5446" width="5.3984375" bestFit="1" customWidth="1"/>
    <col min="5448" max="5449" width="5.3984375" bestFit="1" customWidth="1"/>
    <col min="5450" max="5450" width="2.09765625" bestFit="1" customWidth="1"/>
    <col min="5601" max="5601" width="4.3984375" customWidth="1"/>
    <col min="5602" max="5602" width="30.5" customWidth="1"/>
    <col min="5605" max="5605" width="10.69921875" customWidth="1"/>
    <col min="5606" max="5606" width="5.19921875" customWidth="1"/>
    <col min="5607" max="5607" width="7.59765625" customWidth="1"/>
    <col min="5608" max="5608" width="5.3984375" customWidth="1"/>
    <col min="5609" max="5609" width="7.59765625" customWidth="1"/>
    <col min="5610" max="5610" width="6" bestFit="1" customWidth="1"/>
    <col min="5611" max="5611" width="7.59765625" customWidth="1"/>
    <col min="5612" max="5612" width="5.3984375" customWidth="1"/>
    <col min="5613" max="5613" width="7.59765625" customWidth="1"/>
    <col min="5614" max="5614" width="5.3984375" bestFit="1" customWidth="1"/>
    <col min="5615" max="5615" width="7.59765625" customWidth="1"/>
    <col min="5616" max="5616" width="5.3984375" customWidth="1"/>
    <col min="5617" max="5617" width="7.59765625" customWidth="1"/>
    <col min="5618" max="5618" width="5.3984375" bestFit="1" customWidth="1"/>
    <col min="5619" max="5619" width="7.59765625" customWidth="1"/>
    <col min="5620" max="5620" width="5.3984375" customWidth="1"/>
    <col min="5621" max="5621" width="7.59765625" customWidth="1"/>
    <col min="5622" max="5622" width="5.3984375" bestFit="1" customWidth="1"/>
    <col min="5623" max="5623" width="7.59765625" customWidth="1"/>
    <col min="5624" max="5624" width="5.3984375" customWidth="1"/>
    <col min="5625" max="5625" width="7.59765625" customWidth="1"/>
    <col min="5626" max="5626" width="5.3984375" bestFit="1" customWidth="1"/>
    <col min="5627" max="5627" width="7.59765625" customWidth="1"/>
    <col min="5628" max="5628" width="5.3984375" customWidth="1"/>
    <col min="5629" max="5629" width="7.59765625" customWidth="1"/>
    <col min="5630" max="5630" width="5.3984375" bestFit="1" customWidth="1"/>
    <col min="5631" max="5631" width="7.59765625" customWidth="1"/>
    <col min="5632" max="5632" width="5.3984375" customWidth="1"/>
    <col min="5633" max="5633" width="7.59765625" customWidth="1"/>
    <col min="5634" max="5634" width="5.3984375" bestFit="1" customWidth="1"/>
    <col min="5635" max="5635" width="7.59765625" customWidth="1"/>
    <col min="5636" max="5636" width="5.3984375" customWidth="1"/>
    <col min="5637" max="5637" width="7.59765625" customWidth="1"/>
    <col min="5638" max="5638" width="5.3984375" bestFit="1" customWidth="1"/>
    <col min="5639" max="5639" width="7.59765625" customWidth="1"/>
    <col min="5640" max="5640" width="5.3984375" customWidth="1"/>
    <col min="5641" max="5641" width="7.59765625" customWidth="1"/>
    <col min="5642" max="5642" width="5.3984375" bestFit="1" customWidth="1"/>
    <col min="5643" max="5643" width="7.59765625" customWidth="1"/>
    <col min="5644" max="5644" width="5.3984375" customWidth="1"/>
    <col min="5645" max="5645" width="7.59765625" customWidth="1"/>
    <col min="5646" max="5646" width="5.3984375" bestFit="1" customWidth="1"/>
    <col min="5647" max="5647" width="7.59765625" customWidth="1"/>
    <col min="5648" max="5648" width="5.3984375" customWidth="1"/>
    <col min="5649" max="5649" width="7.59765625" customWidth="1"/>
    <col min="5650" max="5650" width="5.3984375" bestFit="1" customWidth="1"/>
    <col min="5651" max="5651" width="7.59765625" customWidth="1"/>
    <col min="5652" max="5652" width="5.3984375" customWidth="1"/>
    <col min="5653" max="5653" width="7.59765625" customWidth="1"/>
    <col min="5654" max="5654" width="5.3984375" bestFit="1" customWidth="1"/>
    <col min="5655" max="5655" width="7.59765625" customWidth="1"/>
    <col min="5656" max="5656" width="5.3984375" customWidth="1"/>
    <col min="5657" max="5657" width="7.59765625" customWidth="1"/>
    <col min="5658" max="5658" width="5.3984375" bestFit="1" customWidth="1"/>
    <col min="5659" max="5659" width="7.59765625" customWidth="1"/>
    <col min="5660" max="5660" width="5.3984375" customWidth="1"/>
    <col min="5661" max="5661" width="7.59765625" customWidth="1"/>
    <col min="5662" max="5662" width="5.3984375" bestFit="1" customWidth="1"/>
    <col min="5663" max="5663" width="7.59765625" customWidth="1"/>
    <col min="5664" max="5664" width="5.3984375" customWidth="1"/>
    <col min="5665" max="5665" width="7.59765625" customWidth="1"/>
    <col min="5666" max="5666" width="5.3984375" bestFit="1" customWidth="1"/>
    <col min="5667" max="5667" width="7.59765625" customWidth="1"/>
    <col min="5668" max="5668" width="5.3984375" customWidth="1"/>
    <col min="5669" max="5669" width="7.59765625" customWidth="1"/>
    <col min="5670" max="5670" width="5.3984375" bestFit="1" customWidth="1"/>
    <col min="5671" max="5671" width="7.59765625" customWidth="1"/>
    <col min="5672" max="5672" width="5.3984375" customWidth="1"/>
    <col min="5673" max="5673" width="7.59765625" customWidth="1"/>
    <col min="5674" max="5674" width="5.3984375" bestFit="1" customWidth="1"/>
    <col min="5675" max="5675" width="7.59765625" customWidth="1"/>
    <col min="5676" max="5676" width="5.3984375" customWidth="1"/>
    <col min="5677" max="5677" width="7.59765625" customWidth="1"/>
    <col min="5678" max="5678" width="5.3984375" bestFit="1" customWidth="1"/>
    <col min="5679" max="5679" width="7.59765625" customWidth="1"/>
    <col min="5680" max="5680" width="5.3984375" customWidth="1"/>
    <col min="5681" max="5681" width="7.59765625" customWidth="1"/>
    <col min="5682" max="5682" width="5.3984375" bestFit="1" customWidth="1"/>
    <col min="5683" max="5683" width="7.59765625" customWidth="1"/>
    <col min="5684" max="5684" width="5.3984375" customWidth="1"/>
    <col min="5685" max="5685" width="7.59765625" customWidth="1"/>
    <col min="5686" max="5686" width="5.3984375" bestFit="1" customWidth="1"/>
    <col min="5687" max="5687" width="7.59765625" customWidth="1"/>
    <col min="5688" max="5688" width="5.3984375" customWidth="1"/>
    <col min="5689" max="5689" width="7.59765625" customWidth="1"/>
    <col min="5690" max="5690" width="5.3984375" bestFit="1" customWidth="1"/>
    <col min="5691" max="5691" width="7.59765625" customWidth="1"/>
    <col min="5692" max="5692" width="5.3984375" customWidth="1"/>
    <col min="5693" max="5693" width="7.59765625" customWidth="1"/>
    <col min="5694" max="5694" width="5.3984375" bestFit="1" customWidth="1"/>
    <col min="5695" max="5695" width="7.59765625" customWidth="1"/>
    <col min="5696" max="5696" width="5.3984375" customWidth="1"/>
    <col min="5697" max="5697" width="7.59765625" customWidth="1"/>
    <col min="5698" max="5698" width="5.3984375" bestFit="1" customWidth="1"/>
    <col min="5699" max="5699" width="7.59765625" customWidth="1"/>
    <col min="5700" max="5700" width="5.3984375" customWidth="1"/>
    <col min="5701" max="5701" width="7.59765625" customWidth="1"/>
    <col min="5702" max="5702" width="5.3984375" bestFit="1" customWidth="1"/>
    <col min="5704" max="5705" width="5.3984375" bestFit="1" customWidth="1"/>
    <col min="5706" max="5706" width="2.09765625" bestFit="1" customWidth="1"/>
    <col min="5857" max="5857" width="4.3984375" customWidth="1"/>
    <col min="5858" max="5858" width="30.5" customWidth="1"/>
    <col min="5861" max="5861" width="10.69921875" customWidth="1"/>
    <col min="5862" max="5862" width="5.19921875" customWidth="1"/>
    <col min="5863" max="5863" width="7.59765625" customWidth="1"/>
    <col min="5864" max="5864" width="5.3984375" customWidth="1"/>
    <col min="5865" max="5865" width="7.59765625" customWidth="1"/>
    <col min="5866" max="5866" width="6" bestFit="1" customWidth="1"/>
    <col min="5867" max="5867" width="7.59765625" customWidth="1"/>
    <col min="5868" max="5868" width="5.3984375" customWidth="1"/>
    <col min="5869" max="5869" width="7.59765625" customWidth="1"/>
    <col min="5870" max="5870" width="5.3984375" bestFit="1" customWidth="1"/>
    <col min="5871" max="5871" width="7.59765625" customWidth="1"/>
    <col min="5872" max="5872" width="5.3984375" customWidth="1"/>
    <col min="5873" max="5873" width="7.59765625" customWidth="1"/>
    <col min="5874" max="5874" width="5.3984375" bestFit="1" customWidth="1"/>
    <col min="5875" max="5875" width="7.59765625" customWidth="1"/>
    <col min="5876" max="5876" width="5.3984375" customWidth="1"/>
    <col min="5877" max="5877" width="7.59765625" customWidth="1"/>
    <col min="5878" max="5878" width="5.3984375" bestFit="1" customWidth="1"/>
    <col min="5879" max="5879" width="7.59765625" customWidth="1"/>
    <col min="5880" max="5880" width="5.3984375" customWidth="1"/>
    <col min="5881" max="5881" width="7.59765625" customWidth="1"/>
    <col min="5882" max="5882" width="5.3984375" bestFit="1" customWidth="1"/>
    <col min="5883" max="5883" width="7.59765625" customWidth="1"/>
    <col min="5884" max="5884" width="5.3984375" customWidth="1"/>
    <col min="5885" max="5885" width="7.59765625" customWidth="1"/>
    <col min="5886" max="5886" width="5.3984375" bestFit="1" customWidth="1"/>
    <col min="5887" max="5887" width="7.59765625" customWidth="1"/>
    <col min="5888" max="5888" width="5.3984375" customWidth="1"/>
    <col min="5889" max="5889" width="7.59765625" customWidth="1"/>
    <col min="5890" max="5890" width="5.3984375" bestFit="1" customWidth="1"/>
    <col min="5891" max="5891" width="7.59765625" customWidth="1"/>
    <col min="5892" max="5892" width="5.3984375" customWidth="1"/>
    <col min="5893" max="5893" width="7.59765625" customWidth="1"/>
    <col min="5894" max="5894" width="5.3984375" bestFit="1" customWidth="1"/>
    <col min="5895" max="5895" width="7.59765625" customWidth="1"/>
    <col min="5896" max="5896" width="5.3984375" customWidth="1"/>
    <col min="5897" max="5897" width="7.59765625" customWidth="1"/>
    <col min="5898" max="5898" width="5.3984375" bestFit="1" customWidth="1"/>
    <col min="5899" max="5899" width="7.59765625" customWidth="1"/>
    <col min="5900" max="5900" width="5.3984375" customWidth="1"/>
    <col min="5901" max="5901" width="7.59765625" customWidth="1"/>
    <col min="5902" max="5902" width="5.3984375" bestFit="1" customWidth="1"/>
    <col min="5903" max="5903" width="7.59765625" customWidth="1"/>
    <col min="5904" max="5904" width="5.3984375" customWidth="1"/>
    <col min="5905" max="5905" width="7.59765625" customWidth="1"/>
    <col min="5906" max="5906" width="5.3984375" bestFit="1" customWidth="1"/>
    <col min="5907" max="5907" width="7.59765625" customWidth="1"/>
    <col min="5908" max="5908" width="5.3984375" customWidth="1"/>
    <col min="5909" max="5909" width="7.59765625" customWidth="1"/>
    <col min="5910" max="5910" width="5.3984375" bestFit="1" customWidth="1"/>
    <col min="5911" max="5911" width="7.59765625" customWidth="1"/>
    <col min="5912" max="5912" width="5.3984375" customWidth="1"/>
    <col min="5913" max="5913" width="7.59765625" customWidth="1"/>
    <col min="5914" max="5914" width="5.3984375" bestFit="1" customWidth="1"/>
    <col min="5915" max="5915" width="7.59765625" customWidth="1"/>
    <col min="5916" max="5916" width="5.3984375" customWidth="1"/>
    <col min="5917" max="5917" width="7.59765625" customWidth="1"/>
    <col min="5918" max="5918" width="5.3984375" bestFit="1" customWidth="1"/>
    <col min="5919" max="5919" width="7.59765625" customWidth="1"/>
    <col min="5920" max="5920" width="5.3984375" customWidth="1"/>
    <col min="5921" max="5921" width="7.59765625" customWidth="1"/>
    <col min="5922" max="5922" width="5.3984375" bestFit="1" customWidth="1"/>
    <col min="5923" max="5923" width="7.59765625" customWidth="1"/>
    <col min="5924" max="5924" width="5.3984375" customWidth="1"/>
    <col min="5925" max="5925" width="7.59765625" customWidth="1"/>
    <col min="5926" max="5926" width="5.3984375" bestFit="1" customWidth="1"/>
    <col min="5927" max="5927" width="7.59765625" customWidth="1"/>
    <col min="5928" max="5928" width="5.3984375" customWidth="1"/>
    <col min="5929" max="5929" width="7.59765625" customWidth="1"/>
    <col min="5930" max="5930" width="5.3984375" bestFit="1" customWidth="1"/>
    <col min="5931" max="5931" width="7.59765625" customWidth="1"/>
    <col min="5932" max="5932" width="5.3984375" customWidth="1"/>
    <col min="5933" max="5933" width="7.59765625" customWidth="1"/>
    <col min="5934" max="5934" width="5.3984375" bestFit="1" customWidth="1"/>
    <col min="5935" max="5935" width="7.59765625" customWidth="1"/>
    <col min="5936" max="5936" width="5.3984375" customWidth="1"/>
    <col min="5937" max="5937" width="7.59765625" customWidth="1"/>
    <col min="5938" max="5938" width="5.3984375" bestFit="1" customWidth="1"/>
    <col min="5939" max="5939" width="7.59765625" customWidth="1"/>
    <col min="5940" max="5940" width="5.3984375" customWidth="1"/>
    <col min="5941" max="5941" width="7.59765625" customWidth="1"/>
    <col min="5942" max="5942" width="5.3984375" bestFit="1" customWidth="1"/>
    <col min="5943" max="5943" width="7.59765625" customWidth="1"/>
    <col min="5944" max="5944" width="5.3984375" customWidth="1"/>
    <col min="5945" max="5945" width="7.59765625" customWidth="1"/>
    <col min="5946" max="5946" width="5.3984375" bestFit="1" customWidth="1"/>
    <col min="5947" max="5947" width="7.59765625" customWidth="1"/>
    <col min="5948" max="5948" width="5.3984375" customWidth="1"/>
    <col min="5949" max="5949" width="7.59765625" customWidth="1"/>
    <col min="5950" max="5950" width="5.3984375" bestFit="1" customWidth="1"/>
    <col min="5951" max="5951" width="7.59765625" customWidth="1"/>
    <col min="5952" max="5952" width="5.3984375" customWidth="1"/>
    <col min="5953" max="5953" width="7.59765625" customWidth="1"/>
    <col min="5954" max="5954" width="5.3984375" bestFit="1" customWidth="1"/>
    <col min="5955" max="5955" width="7.59765625" customWidth="1"/>
    <col min="5956" max="5956" width="5.3984375" customWidth="1"/>
    <col min="5957" max="5957" width="7.59765625" customWidth="1"/>
    <col min="5958" max="5958" width="5.3984375" bestFit="1" customWidth="1"/>
    <col min="5960" max="5961" width="5.3984375" bestFit="1" customWidth="1"/>
    <col min="5962" max="5962" width="2.09765625" bestFit="1" customWidth="1"/>
    <col min="6113" max="6113" width="4.3984375" customWidth="1"/>
    <col min="6114" max="6114" width="30.5" customWidth="1"/>
    <col min="6117" max="6117" width="10.69921875" customWidth="1"/>
    <col min="6118" max="6118" width="5.19921875" customWidth="1"/>
    <col min="6119" max="6119" width="7.59765625" customWidth="1"/>
    <col min="6120" max="6120" width="5.3984375" customWidth="1"/>
    <col min="6121" max="6121" width="7.59765625" customWidth="1"/>
    <col min="6122" max="6122" width="6" bestFit="1" customWidth="1"/>
    <col min="6123" max="6123" width="7.59765625" customWidth="1"/>
    <col min="6124" max="6124" width="5.3984375" customWidth="1"/>
    <col min="6125" max="6125" width="7.59765625" customWidth="1"/>
    <col min="6126" max="6126" width="5.3984375" bestFit="1" customWidth="1"/>
    <col min="6127" max="6127" width="7.59765625" customWidth="1"/>
    <col min="6128" max="6128" width="5.3984375" customWidth="1"/>
    <col min="6129" max="6129" width="7.59765625" customWidth="1"/>
    <col min="6130" max="6130" width="5.3984375" bestFit="1" customWidth="1"/>
    <col min="6131" max="6131" width="7.59765625" customWidth="1"/>
    <col min="6132" max="6132" width="5.3984375" customWidth="1"/>
    <col min="6133" max="6133" width="7.59765625" customWidth="1"/>
    <col min="6134" max="6134" width="5.3984375" bestFit="1" customWidth="1"/>
    <col min="6135" max="6135" width="7.59765625" customWidth="1"/>
    <col min="6136" max="6136" width="5.3984375" customWidth="1"/>
    <col min="6137" max="6137" width="7.59765625" customWidth="1"/>
    <col min="6138" max="6138" width="5.3984375" bestFit="1" customWidth="1"/>
    <col min="6139" max="6139" width="7.59765625" customWidth="1"/>
    <col min="6140" max="6140" width="5.3984375" customWidth="1"/>
    <col min="6141" max="6141" width="7.59765625" customWidth="1"/>
    <col min="6142" max="6142" width="5.3984375" bestFit="1" customWidth="1"/>
    <col min="6143" max="6143" width="7.59765625" customWidth="1"/>
    <col min="6144" max="6144" width="5.3984375" customWidth="1"/>
    <col min="6145" max="6145" width="7.59765625" customWidth="1"/>
    <col min="6146" max="6146" width="5.3984375" bestFit="1" customWidth="1"/>
    <col min="6147" max="6147" width="7.59765625" customWidth="1"/>
    <col min="6148" max="6148" width="5.3984375" customWidth="1"/>
    <col min="6149" max="6149" width="7.59765625" customWidth="1"/>
    <col min="6150" max="6150" width="5.3984375" bestFit="1" customWidth="1"/>
    <col min="6151" max="6151" width="7.59765625" customWidth="1"/>
    <col min="6152" max="6152" width="5.3984375" customWidth="1"/>
    <col min="6153" max="6153" width="7.59765625" customWidth="1"/>
    <col min="6154" max="6154" width="5.3984375" bestFit="1" customWidth="1"/>
    <col min="6155" max="6155" width="7.59765625" customWidth="1"/>
    <col min="6156" max="6156" width="5.3984375" customWidth="1"/>
    <col min="6157" max="6157" width="7.59765625" customWidth="1"/>
    <col min="6158" max="6158" width="5.3984375" bestFit="1" customWidth="1"/>
    <col min="6159" max="6159" width="7.59765625" customWidth="1"/>
    <col min="6160" max="6160" width="5.3984375" customWidth="1"/>
    <col min="6161" max="6161" width="7.59765625" customWidth="1"/>
    <col min="6162" max="6162" width="5.3984375" bestFit="1" customWidth="1"/>
    <col min="6163" max="6163" width="7.59765625" customWidth="1"/>
    <col min="6164" max="6164" width="5.3984375" customWidth="1"/>
    <col min="6165" max="6165" width="7.59765625" customWidth="1"/>
    <col min="6166" max="6166" width="5.3984375" bestFit="1" customWidth="1"/>
    <col min="6167" max="6167" width="7.59765625" customWidth="1"/>
    <col min="6168" max="6168" width="5.3984375" customWidth="1"/>
    <col min="6169" max="6169" width="7.59765625" customWidth="1"/>
    <col min="6170" max="6170" width="5.3984375" bestFit="1" customWidth="1"/>
    <col min="6171" max="6171" width="7.59765625" customWidth="1"/>
    <col min="6172" max="6172" width="5.3984375" customWidth="1"/>
    <col min="6173" max="6173" width="7.59765625" customWidth="1"/>
    <col min="6174" max="6174" width="5.3984375" bestFit="1" customWidth="1"/>
    <col min="6175" max="6175" width="7.59765625" customWidth="1"/>
    <col min="6176" max="6176" width="5.3984375" customWidth="1"/>
    <col min="6177" max="6177" width="7.59765625" customWidth="1"/>
    <col min="6178" max="6178" width="5.3984375" bestFit="1" customWidth="1"/>
    <col min="6179" max="6179" width="7.59765625" customWidth="1"/>
    <col min="6180" max="6180" width="5.3984375" customWidth="1"/>
    <col min="6181" max="6181" width="7.59765625" customWidth="1"/>
    <col min="6182" max="6182" width="5.3984375" bestFit="1" customWidth="1"/>
    <col min="6183" max="6183" width="7.59765625" customWidth="1"/>
    <col min="6184" max="6184" width="5.3984375" customWidth="1"/>
    <col min="6185" max="6185" width="7.59765625" customWidth="1"/>
    <col min="6186" max="6186" width="5.3984375" bestFit="1" customWidth="1"/>
    <col min="6187" max="6187" width="7.59765625" customWidth="1"/>
    <col min="6188" max="6188" width="5.3984375" customWidth="1"/>
    <col min="6189" max="6189" width="7.59765625" customWidth="1"/>
    <col min="6190" max="6190" width="5.3984375" bestFit="1" customWidth="1"/>
    <col min="6191" max="6191" width="7.59765625" customWidth="1"/>
    <col min="6192" max="6192" width="5.3984375" customWidth="1"/>
    <col min="6193" max="6193" width="7.59765625" customWidth="1"/>
    <col min="6194" max="6194" width="5.3984375" bestFit="1" customWidth="1"/>
    <col min="6195" max="6195" width="7.59765625" customWidth="1"/>
    <col min="6196" max="6196" width="5.3984375" customWidth="1"/>
    <col min="6197" max="6197" width="7.59765625" customWidth="1"/>
    <col min="6198" max="6198" width="5.3984375" bestFit="1" customWidth="1"/>
    <col min="6199" max="6199" width="7.59765625" customWidth="1"/>
    <col min="6200" max="6200" width="5.3984375" customWidth="1"/>
    <col min="6201" max="6201" width="7.59765625" customWidth="1"/>
    <col min="6202" max="6202" width="5.3984375" bestFit="1" customWidth="1"/>
    <col min="6203" max="6203" width="7.59765625" customWidth="1"/>
    <col min="6204" max="6204" width="5.3984375" customWidth="1"/>
    <col min="6205" max="6205" width="7.59765625" customWidth="1"/>
    <col min="6206" max="6206" width="5.3984375" bestFit="1" customWidth="1"/>
    <col min="6207" max="6207" width="7.59765625" customWidth="1"/>
    <col min="6208" max="6208" width="5.3984375" customWidth="1"/>
    <col min="6209" max="6209" width="7.59765625" customWidth="1"/>
    <col min="6210" max="6210" width="5.3984375" bestFit="1" customWidth="1"/>
    <col min="6211" max="6211" width="7.59765625" customWidth="1"/>
    <col min="6212" max="6212" width="5.3984375" customWidth="1"/>
    <col min="6213" max="6213" width="7.59765625" customWidth="1"/>
    <col min="6214" max="6214" width="5.3984375" bestFit="1" customWidth="1"/>
    <col min="6216" max="6217" width="5.3984375" bestFit="1" customWidth="1"/>
    <col min="6218" max="6218" width="2.09765625" bestFit="1" customWidth="1"/>
    <col min="6369" max="6369" width="4.3984375" customWidth="1"/>
    <col min="6370" max="6370" width="30.5" customWidth="1"/>
    <col min="6373" max="6373" width="10.69921875" customWidth="1"/>
    <col min="6374" max="6374" width="5.19921875" customWidth="1"/>
    <col min="6375" max="6375" width="7.59765625" customWidth="1"/>
    <col min="6376" max="6376" width="5.3984375" customWidth="1"/>
    <col min="6377" max="6377" width="7.59765625" customWidth="1"/>
    <col min="6378" max="6378" width="6" bestFit="1" customWidth="1"/>
    <col min="6379" max="6379" width="7.59765625" customWidth="1"/>
    <col min="6380" max="6380" width="5.3984375" customWidth="1"/>
    <col min="6381" max="6381" width="7.59765625" customWidth="1"/>
    <col min="6382" max="6382" width="5.3984375" bestFit="1" customWidth="1"/>
    <col min="6383" max="6383" width="7.59765625" customWidth="1"/>
    <col min="6384" max="6384" width="5.3984375" customWidth="1"/>
    <col min="6385" max="6385" width="7.59765625" customWidth="1"/>
    <col min="6386" max="6386" width="5.3984375" bestFit="1" customWidth="1"/>
    <col min="6387" max="6387" width="7.59765625" customWidth="1"/>
    <col min="6388" max="6388" width="5.3984375" customWidth="1"/>
    <col min="6389" max="6389" width="7.59765625" customWidth="1"/>
    <col min="6390" max="6390" width="5.3984375" bestFit="1" customWidth="1"/>
    <col min="6391" max="6391" width="7.59765625" customWidth="1"/>
    <col min="6392" max="6392" width="5.3984375" customWidth="1"/>
    <col min="6393" max="6393" width="7.59765625" customWidth="1"/>
    <col min="6394" max="6394" width="5.3984375" bestFit="1" customWidth="1"/>
    <col min="6395" max="6395" width="7.59765625" customWidth="1"/>
    <col min="6396" max="6396" width="5.3984375" customWidth="1"/>
    <col min="6397" max="6397" width="7.59765625" customWidth="1"/>
    <col min="6398" max="6398" width="5.3984375" bestFit="1" customWidth="1"/>
    <col min="6399" max="6399" width="7.59765625" customWidth="1"/>
    <col min="6400" max="6400" width="5.3984375" customWidth="1"/>
    <col min="6401" max="6401" width="7.59765625" customWidth="1"/>
    <col min="6402" max="6402" width="5.3984375" bestFit="1" customWidth="1"/>
    <col min="6403" max="6403" width="7.59765625" customWidth="1"/>
    <col min="6404" max="6404" width="5.3984375" customWidth="1"/>
    <col min="6405" max="6405" width="7.59765625" customWidth="1"/>
    <col min="6406" max="6406" width="5.3984375" bestFit="1" customWidth="1"/>
    <col min="6407" max="6407" width="7.59765625" customWidth="1"/>
    <col min="6408" max="6408" width="5.3984375" customWidth="1"/>
    <col min="6409" max="6409" width="7.59765625" customWidth="1"/>
    <col min="6410" max="6410" width="5.3984375" bestFit="1" customWidth="1"/>
    <col min="6411" max="6411" width="7.59765625" customWidth="1"/>
    <col min="6412" max="6412" width="5.3984375" customWidth="1"/>
    <col min="6413" max="6413" width="7.59765625" customWidth="1"/>
    <col min="6414" max="6414" width="5.3984375" bestFit="1" customWidth="1"/>
    <col min="6415" max="6415" width="7.59765625" customWidth="1"/>
    <col min="6416" max="6416" width="5.3984375" customWidth="1"/>
    <col min="6417" max="6417" width="7.59765625" customWidth="1"/>
    <col min="6418" max="6418" width="5.3984375" bestFit="1" customWidth="1"/>
    <col min="6419" max="6419" width="7.59765625" customWidth="1"/>
    <col min="6420" max="6420" width="5.3984375" customWidth="1"/>
    <col min="6421" max="6421" width="7.59765625" customWidth="1"/>
    <col min="6422" max="6422" width="5.3984375" bestFit="1" customWidth="1"/>
    <col min="6423" max="6423" width="7.59765625" customWidth="1"/>
    <col min="6424" max="6424" width="5.3984375" customWidth="1"/>
    <col min="6425" max="6425" width="7.59765625" customWidth="1"/>
    <col min="6426" max="6426" width="5.3984375" bestFit="1" customWidth="1"/>
    <col min="6427" max="6427" width="7.59765625" customWidth="1"/>
    <col min="6428" max="6428" width="5.3984375" customWidth="1"/>
    <col min="6429" max="6429" width="7.59765625" customWidth="1"/>
    <col min="6430" max="6430" width="5.3984375" bestFit="1" customWidth="1"/>
    <col min="6431" max="6431" width="7.59765625" customWidth="1"/>
    <col min="6432" max="6432" width="5.3984375" customWidth="1"/>
    <col min="6433" max="6433" width="7.59765625" customWidth="1"/>
    <col min="6434" max="6434" width="5.3984375" bestFit="1" customWidth="1"/>
    <col min="6435" max="6435" width="7.59765625" customWidth="1"/>
    <col min="6436" max="6436" width="5.3984375" customWidth="1"/>
    <col min="6437" max="6437" width="7.59765625" customWidth="1"/>
    <col min="6438" max="6438" width="5.3984375" bestFit="1" customWidth="1"/>
    <col min="6439" max="6439" width="7.59765625" customWidth="1"/>
    <col min="6440" max="6440" width="5.3984375" customWidth="1"/>
    <col min="6441" max="6441" width="7.59765625" customWidth="1"/>
    <col min="6442" max="6442" width="5.3984375" bestFit="1" customWidth="1"/>
    <col min="6443" max="6443" width="7.59765625" customWidth="1"/>
    <col min="6444" max="6444" width="5.3984375" customWidth="1"/>
    <col min="6445" max="6445" width="7.59765625" customWidth="1"/>
    <col min="6446" max="6446" width="5.3984375" bestFit="1" customWidth="1"/>
    <col min="6447" max="6447" width="7.59765625" customWidth="1"/>
    <col min="6448" max="6448" width="5.3984375" customWidth="1"/>
    <col min="6449" max="6449" width="7.59765625" customWidth="1"/>
    <col min="6450" max="6450" width="5.3984375" bestFit="1" customWidth="1"/>
    <col min="6451" max="6451" width="7.59765625" customWidth="1"/>
    <col min="6452" max="6452" width="5.3984375" customWidth="1"/>
    <col min="6453" max="6453" width="7.59765625" customWidth="1"/>
    <col min="6454" max="6454" width="5.3984375" bestFit="1" customWidth="1"/>
    <col min="6455" max="6455" width="7.59765625" customWidth="1"/>
    <col min="6456" max="6456" width="5.3984375" customWidth="1"/>
    <col min="6457" max="6457" width="7.59765625" customWidth="1"/>
    <col min="6458" max="6458" width="5.3984375" bestFit="1" customWidth="1"/>
    <col min="6459" max="6459" width="7.59765625" customWidth="1"/>
    <col min="6460" max="6460" width="5.3984375" customWidth="1"/>
    <col min="6461" max="6461" width="7.59765625" customWidth="1"/>
    <col min="6462" max="6462" width="5.3984375" bestFit="1" customWidth="1"/>
    <col min="6463" max="6463" width="7.59765625" customWidth="1"/>
    <col min="6464" max="6464" width="5.3984375" customWidth="1"/>
    <col min="6465" max="6465" width="7.59765625" customWidth="1"/>
    <col min="6466" max="6466" width="5.3984375" bestFit="1" customWidth="1"/>
    <col min="6467" max="6467" width="7.59765625" customWidth="1"/>
    <col min="6468" max="6468" width="5.3984375" customWidth="1"/>
    <col min="6469" max="6469" width="7.59765625" customWidth="1"/>
    <col min="6470" max="6470" width="5.3984375" bestFit="1" customWidth="1"/>
    <col min="6472" max="6473" width="5.3984375" bestFit="1" customWidth="1"/>
    <col min="6474" max="6474" width="2.09765625" bestFit="1" customWidth="1"/>
    <col min="6625" max="6625" width="4.3984375" customWidth="1"/>
    <col min="6626" max="6626" width="30.5" customWidth="1"/>
    <col min="6629" max="6629" width="10.69921875" customWidth="1"/>
    <col min="6630" max="6630" width="5.19921875" customWidth="1"/>
    <col min="6631" max="6631" width="7.59765625" customWidth="1"/>
    <col min="6632" max="6632" width="5.3984375" customWidth="1"/>
    <col min="6633" max="6633" width="7.59765625" customWidth="1"/>
    <col min="6634" max="6634" width="6" bestFit="1" customWidth="1"/>
    <col min="6635" max="6635" width="7.59765625" customWidth="1"/>
    <col min="6636" max="6636" width="5.3984375" customWidth="1"/>
    <col min="6637" max="6637" width="7.59765625" customWidth="1"/>
    <col min="6638" max="6638" width="5.3984375" bestFit="1" customWidth="1"/>
    <col min="6639" max="6639" width="7.59765625" customWidth="1"/>
    <col min="6640" max="6640" width="5.3984375" customWidth="1"/>
    <col min="6641" max="6641" width="7.59765625" customWidth="1"/>
    <col min="6642" max="6642" width="5.3984375" bestFit="1" customWidth="1"/>
    <col min="6643" max="6643" width="7.59765625" customWidth="1"/>
    <col min="6644" max="6644" width="5.3984375" customWidth="1"/>
    <col min="6645" max="6645" width="7.59765625" customWidth="1"/>
    <col min="6646" max="6646" width="5.3984375" bestFit="1" customWidth="1"/>
    <col min="6647" max="6647" width="7.59765625" customWidth="1"/>
    <col min="6648" max="6648" width="5.3984375" customWidth="1"/>
    <col min="6649" max="6649" width="7.59765625" customWidth="1"/>
    <col min="6650" max="6650" width="5.3984375" bestFit="1" customWidth="1"/>
    <col min="6651" max="6651" width="7.59765625" customWidth="1"/>
    <col min="6652" max="6652" width="5.3984375" customWidth="1"/>
    <col min="6653" max="6653" width="7.59765625" customWidth="1"/>
    <col min="6654" max="6654" width="5.3984375" bestFit="1" customWidth="1"/>
    <col min="6655" max="6655" width="7.59765625" customWidth="1"/>
    <col min="6656" max="6656" width="5.3984375" customWidth="1"/>
    <col min="6657" max="6657" width="7.59765625" customWidth="1"/>
    <col min="6658" max="6658" width="5.3984375" bestFit="1" customWidth="1"/>
    <col min="6659" max="6659" width="7.59765625" customWidth="1"/>
    <col min="6660" max="6660" width="5.3984375" customWidth="1"/>
    <col min="6661" max="6661" width="7.59765625" customWidth="1"/>
    <col min="6662" max="6662" width="5.3984375" bestFit="1" customWidth="1"/>
    <col min="6663" max="6663" width="7.59765625" customWidth="1"/>
    <col min="6664" max="6664" width="5.3984375" customWidth="1"/>
    <col min="6665" max="6665" width="7.59765625" customWidth="1"/>
    <col min="6666" max="6666" width="5.3984375" bestFit="1" customWidth="1"/>
    <col min="6667" max="6667" width="7.59765625" customWidth="1"/>
    <col min="6668" max="6668" width="5.3984375" customWidth="1"/>
    <col min="6669" max="6669" width="7.59765625" customWidth="1"/>
    <col min="6670" max="6670" width="5.3984375" bestFit="1" customWidth="1"/>
    <col min="6671" max="6671" width="7.59765625" customWidth="1"/>
    <col min="6672" max="6672" width="5.3984375" customWidth="1"/>
    <col min="6673" max="6673" width="7.59765625" customWidth="1"/>
    <col min="6674" max="6674" width="5.3984375" bestFit="1" customWidth="1"/>
    <col min="6675" max="6675" width="7.59765625" customWidth="1"/>
    <col min="6676" max="6676" width="5.3984375" customWidth="1"/>
    <col min="6677" max="6677" width="7.59765625" customWidth="1"/>
    <col min="6678" max="6678" width="5.3984375" bestFit="1" customWidth="1"/>
    <col min="6679" max="6679" width="7.59765625" customWidth="1"/>
    <col min="6680" max="6680" width="5.3984375" customWidth="1"/>
    <col min="6681" max="6681" width="7.59765625" customWidth="1"/>
    <col min="6682" max="6682" width="5.3984375" bestFit="1" customWidth="1"/>
    <col min="6683" max="6683" width="7.59765625" customWidth="1"/>
    <col min="6684" max="6684" width="5.3984375" customWidth="1"/>
    <col min="6685" max="6685" width="7.59765625" customWidth="1"/>
    <col min="6686" max="6686" width="5.3984375" bestFit="1" customWidth="1"/>
    <col min="6687" max="6687" width="7.59765625" customWidth="1"/>
    <col min="6688" max="6688" width="5.3984375" customWidth="1"/>
    <col min="6689" max="6689" width="7.59765625" customWidth="1"/>
    <col min="6690" max="6690" width="5.3984375" bestFit="1" customWidth="1"/>
    <col min="6691" max="6691" width="7.59765625" customWidth="1"/>
    <col min="6692" max="6692" width="5.3984375" customWidth="1"/>
    <col min="6693" max="6693" width="7.59765625" customWidth="1"/>
    <col min="6694" max="6694" width="5.3984375" bestFit="1" customWidth="1"/>
    <col min="6695" max="6695" width="7.59765625" customWidth="1"/>
    <col min="6696" max="6696" width="5.3984375" customWidth="1"/>
    <col min="6697" max="6697" width="7.59765625" customWidth="1"/>
    <col min="6698" max="6698" width="5.3984375" bestFit="1" customWidth="1"/>
    <col min="6699" max="6699" width="7.59765625" customWidth="1"/>
    <col min="6700" max="6700" width="5.3984375" customWidth="1"/>
    <col min="6701" max="6701" width="7.59765625" customWidth="1"/>
    <col min="6702" max="6702" width="5.3984375" bestFit="1" customWidth="1"/>
    <col min="6703" max="6703" width="7.59765625" customWidth="1"/>
    <col min="6704" max="6704" width="5.3984375" customWidth="1"/>
    <col min="6705" max="6705" width="7.59765625" customWidth="1"/>
    <col min="6706" max="6706" width="5.3984375" bestFit="1" customWidth="1"/>
    <col min="6707" max="6707" width="7.59765625" customWidth="1"/>
    <col min="6708" max="6708" width="5.3984375" customWidth="1"/>
    <col min="6709" max="6709" width="7.59765625" customWidth="1"/>
    <col min="6710" max="6710" width="5.3984375" bestFit="1" customWidth="1"/>
    <col min="6711" max="6711" width="7.59765625" customWidth="1"/>
    <col min="6712" max="6712" width="5.3984375" customWidth="1"/>
    <col min="6713" max="6713" width="7.59765625" customWidth="1"/>
    <col min="6714" max="6714" width="5.3984375" bestFit="1" customWidth="1"/>
    <col min="6715" max="6715" width="7.59765625" customWidth="1"/>
    <col min="6716" max="6716" width="5.3984375" customWidth="1"/>
    <col min="6717" max="6717" width="7.59765625" customWidth="1"/>
    <col min="6718" max="6718" width="5.3984375" bestFit="1" customWidth="1"/>
    <col min="6719" max="6719" width="7.59765625" customWidth="1"/>
    <col min="6720" max="6720" width="5.3984375" customWidth="1"/>
    <col min="6721" max="6721" width="7.59765625" customWidth="1"/>
    <col min="6722" max="6722" width="5.3984375" bestFit="1" customWidth="1"/>
    <col min="6723" max="6723" width="7.59765625" customWidth="1"/>
    <col min="6724" max="6724" width="5.3984375" customWidth="1"/>
    <col min="6725" max="6725" width="7.59765625" customWidth="1"/>
    <col min="6726" max="6726" width="5.3984375" bestFit="1" customWidth="1"/>
    <col min="6728" max="6729" width="5.3984375" bestFit="1" customWidth="1"/>
    <col min="6730" max="6730" width="2.09765625" bestFit="1" customWidth="1"/>
    <col min="6881" max="6881" width="4.3984375" customWidth="1"/>
    <col min="6882" max="6882" width="30.5" customWidth="1"/>
    <col min="6885" max="6885" width="10.69921875" customWidth="1"/>
    <col min="6886" max="6886" width="5.19921875" customWidth="1"/>
    <col min="6887" max="6887" width="7.59765625" customWidth="1"/>
    <col min="6888" max="6888" width="5.3984375" customWidth="1"/>
    <col min="6889" max="6889" width="7.59765625" customWidth="1"/>
    <col min="6890" max="6890" width="6" bestFit="1" customWidth="1"/>
    <col min="6891" max="6891" width="7.59765625" customWidth="1"/>
    <col min="6892" max="6892" width="5.3984375" customWidth="1"/>
    <col min="6893" max="6893" width="7.59765625" customWidth="1"/>
    <col min="6894" max="6894" width="5.3984375" bestFit="1" customWidth="1"/>
    <col min="6895" max="6895" width="7.59765625" customWidth="1"/>
    <col min="6896" max="6896" width="5.3984375" customWidth="1"/>
    <col min="6897" max="6897" width="7.59765625" customWidth="1"/>
    <col min="6898" max="6898" width="5.3984375" bestFit="1" customWidth="1"/>
    <col min="6899" max="6899" width="7.59765625" customWidth="1"/>
    <col min="6900" max="6900" width="5.3984375" customWidth="1"/>
    <col min="6901" max="6901" width="7.59765625" customWidth="1"/>
    <col min="6902" max="6902" width="5.3984375" bestFit="1" customWidth="1"/>
    <col min="6903" max="6903" width="7.59765625" customWidth="1"/>
    <col min="6904" max="6904" width="5.3984375" customWidth="1"/>
    <col min="6905" max="6905" width="7.59765625" customWidth="1"/>
    <col min="6906" max="6906" width="5.3984375" bestFit="1" customWidth="1"/>
    <col min="6907" max="6907" width="7.59765625" customWidth="1"/>
    <col min="6908" max="6908" width="5.3984375" customWidth="1"/>
    <col min="6909" max="6909" width="7.59765625" customWidth="1"/>
    <col min="6910" max="6910" width="5.3984375" bestFit="1" customWidth="1"/>
    <col min="6911" max="6911" width="7.59765625" customWidth="1"/>
    <col min="6912" max="6912" width="5.3984375" customWidth="1"/>
    <col min="6913" max="6913" width="7.59765625" customWidth="1"/>
    <col min="6914" max="6914" width="5.3984375" bestFit="1" customWidth="1"/>
    <col min="6915" max="6915" width="7.59765625" customWidth="1"/>
    <col min="6916" max="6916" width="5.3984375" customWidth="1"/>
    <col min="6917" max="6917" width="7.59765625" customWidth="1"/>
    <col min="6918" max="6918" width="5.3984375" bestFit="1" customWidth="1"/>
    <col min="6919" max="6919" width="7.59765625" customWidth="1"/>
    <col min="6920" max="6920" width="5.3984375" customWidth="1"/>
    <col min="6921" max="6921" width="7.59765625" customWidth="1"/>
    <col min="6922" max="6922" width="5.3984375" bestFit="1" customWidth="1"/>
    <col min="6923" max="6923" width="7.59765625" customWidth="1"/>
    <col min="6924" max="6924" width="5.3984375" customWidth="1"/>
    <col min="6925" max="6925" width="7.59765625" customWidth="1"/>
    <col min="6926" max="6926" width="5.3984375" bestFit="1" customWidth="1"/>
    <col min="6927" max="6927" width="7.59765625" customWidth="1"/>
    <col min="6928" max="6928" width="5.3984375" customWidth="1"/>
    <col min="6929" max="6929" width="7.59765625" customWidth="1"/>
    <col min="6930" max="6930" width="5.3984375" bestFit="1" customWidth="1"/>
    <col min="6931" max="6931" width="7.59765625" customWidth="1"/>
    <col min="6932" max="6932" width="5.3984375" customWidth="1"/>
    <col min="6933" max="6933" width="7.59765625" customWidth="1"/>
    <col min="6934" max="6934" width="5.3984375" bestFit="1" customWidth="1"/>
    <col min="6935" max="6935" width="7.59765625" customWidth="1"/>
    <col min="6936" max="6936" width="5.3984375" customWidth="1"/>
    <col min="6937" max="6937" width="7.59765625" customWidth="1"/>
    <col min="6938" max="6938" width="5.3984375" bestFit="1" customWidth="1"/>
    <col min="6939" max="6939" width="7.59765625" customWidth="1"/>
    <col min="6940" max="6940" width="5.3984375" customWidth="1"/>
    <col min="6941" max="6941" width="7.59765625" customWidth="1"/>
    <col min="6942" max="6942" width="5.3984375" bestFit="1" customWidth="1"/>
    <col min="6943" max="6943" width="7.59765625" customWidth="1"/>
    <col min="6944" max="6944" width="5.3984375" customWidth="1"/>
    <col min="6945" max="6945" width="7.59765625" customWidth="1"/>
    <col min="6946" max="6946" width="5.3984375" bestFit="1" customWidth="1"/>
    <col min="6947" max="6947" width="7.59765625" customWidth="1"/>
    <col min="6948" max="6948" width="5.3984375" customWidth="1"/>
    <col min="6949" max="6949" width="7.59765625" customWidth="1"/>
    <col min="6950" max="6950" width="5.3984375" bestFit="1" customWidth="1"/>
    <col min="6951" max="6951" width="7.59765625" customWidth="1"/>
    <col min="6952" max="6952" width="5.3984375" customWidth="1"/>
    <col min="6953" max="6953" width="7.59765625" customWidth="1"/>
    <col min="6954" max="6954" width="5.3984375" bestFit="1" customWidth="1"/>
    <col min="6955" max="6955" width="7.59765625" customWidth="1"/>
    <col min="6956" max="6956" width="5.3984375" customWidth="1"/>
    <col min="6957" max="6957" width="7.59765625" customWidth="1"/>
    <col min="6958" max="6958" width="5.3984375" bestFit="1" customWidth="1"/>
    <col min="6959" max="6959" width="7.59765625" customWidth="1"/>
    <col min="6960" max="6960" width="5.3984375" customWidth="1"/>
    <col min="6961" max="6961" width="7.59765625" customWidth="1"/>
    <col min="6962" max="6962" width="5.3984375" bestFit="1" customWidth="1"/>
    <col min="6963" max="6963" width="7.59765625" customWidth="1"/>
    <col min="6964" max="6964" width="5.3984375" customWidth="1"/>
    <col min="6965" max="6965" width="7.59765625" customWidth="1"/>
    <col min="6966" max="6966" width="5.3984375" bestFit="1" customWidth="1"/>
    <col min="6967" max="6967" width="7.59765625" customWidth="1"/>
    <col min="6968" max="6968" width="5.3984375" customWidth="1"/>
    <col min="6969" max="6969" width="7.59765625" customWidth="1"/>
    <col min="6970" max="6970" width="5.3984375" bestFit="1" customWidth="1"/>
    <col min="6971" max="6971" width="7.59765625" customWidth="1"/>
    <col min="6972" max="6972" width="5.3984375" customWidth="1"/>
    <col min="6973" max="6973" width="7.59765625" customWidth="1"/>
    <col min="6974" max="6974" width="5.3984375" bestFit="1" customWidth="1"/>
    <col min="6975" max="6975" width="7.59765625" customWidth="1"/>
    <col min="6976" max="6976" width="5.3984375" customWidth="1"/>
    <col min="6977" max="6977" width="7.59765625" customWidth="1"/>
    <col min="6978" max="6978" width="5.3984375" bestFit="1" customWidth="1"/>
    <col min="6979" max="6979" width="7.59765625" customWidth="1"/>
    <col min="6980" max="6980" width="5.3984375" customWidth="1"/>
    <col min="6981" max="6981" width="7.59765625" customWidth="1"/>
    <col min="6982" max="6982" width="5.3984375" bestFit="1" customWidth="1"/>
    <col min="6984" max="6985" width="5.3984375" bestFit="1" customWidth="1"/>
    <col min="6986" max="6986" width="2.09765625" bestFit="1" customWidth="1"/>
    <col min="7137" max="7137" width="4.3984375" customWidth="1"/>
    <col min="7138" max="7138" width="30.5" customWidth="1"/>
    <col min="7141" max="7141" width="10.69921875" customWidth="1"/>
    <col min="7142" max="7142" width="5.19921875" customWidth="1"/>
    <col min="7143" max="7143" width="7.59765625" customWidth="1"/>
    <col min="7144" max="7144" width="5.3984375" customWidth="1"/>
    <col min="7145" max="7145" width="7.59765625" customWidth="1"/>
    <col min="7146" max="7146" width="6" bestFit="1" customWidth="1"/>
    <col min="7147" max="7147" width="7.59765625" customWidth="1"/>
    <col min="7148" max="7148" width="5.3984375" customWidth="1"/>
    <col min="7149" max="7149" width="7.59765625" customWidth="1"/>
    <col min="7150" max="7150" width="5.3984375" bestFit="1" customWidth="1"/>
    <col min="7151" max="7151" width="7.59765625" customWidth="1"/>
    <col min="7152" max="7152" width="5.3984375" customWidth="1"/>
    <col min="7153" max="7153" width="7.59765625" customWidth="1"/>
    <col min="7154" max="7154" width="5.3984375" bestFit="1" customWidth="1"/>
    <col min="7155" max="7155" width="7.59765625" customWidth="1"/>
    <col min="7156" max="7156" width="5.3984375" customWidth="1"/>
    <col min="7157" max="7157" width="7.59765625" customWidth="1"/>
    <col min="7158" max="7158" width="5.3984375" bestFit="1" customWidth="1"/>
    <col min="7159" max="7159" width="7.59765625" customWidth="1"/>
    <col min="7160" max="7160" width="5.3984375" customWidth="1"/>
    <col min="7161" max="7161" width="7.59765625" customWidth="1"/>
    <col min="7162" max="7162" width="5.3984375" bestFit="1" customWidth="1"/>
    <col min="7163" max="7163" width="7.59765625" customWidth="1"/>
    <col min="7164" max="7164" width="5.3984375" customWidth="1"/>
    <col min="7165" max="7165" width="7.59765625" customWidth="1"/>
    <col min="7166" max="7166" width="5.3984375" bestFit="1" customWidth="1"/>
    <col min="7167" max="7167" width="7.59765625" customWidth="1"/>
    <col min="7168" max="7168" width="5.3984375" customWidth="1"/>
    <col min="7169" max="7169" width="7.59765625" customWidth="1"/>
    <col min="7170" max="7170" width="5.3984375" bestFit="1" customWidth="1"/>
    <col min="7171" max="7171" width="7.59765625" customWidth="1"/>
    <col min="7172" max="7172" width="5.3984375" customWidth="1"/>
    <col min="7173" max="7173" width="7.59765625" customWidth="1"/>
    <col min="7174" max="7174" width="5.3984375" bestFit="1" customWidth="1"/>
    <col min="7175" max="7175" width="7.59765625" customWidth="1"/>
    <col min="7176" max="7176" width="5.3984375" customWidth="1"/>
    <col min="7177" max="7177" width="7.59765625" customWidth="1"/>
    <col min="7178" max="7178" width="5.3984375" bestFit="1" customWidth="1"/>
    <col min="7179" max="7179" width="7.59765625" customWidth="1"/>
    <col min="7180" max="7180" width="5.3984375" customWidth="1"/>
    <col min="7181" max="7181" width="7.59765625" customWidth="1"/>
    <col min="7182" max="7182" width="5.3984375" bestFit="1" customWidth="1"/>
    <col min="7183" max="7183" width="7.59765625" customWidth="1"/>
    <col min="7184" max="7184" width="5.3984375" customWidth="1"/>
    <col min="7185" max="7185" width="7.59765625" customWidth="1"/>
    <col min="7186" max="7186" width="5.3984375" bestFit="1" customWidth="1"/>
    <col min="7187" max="7187" width="7.59765625" customWidth="1"/>
    <col min="7188" max="7188" width="5.3984375" customWidth="1"/>
    <col min="7189" max="7189" width="7.59765625" customWidth="1"/>
    <col min="7190" max="7190" width="5.3984375" bestFit="1" customWidth="1"/>
    <col min="7191" max="7191" width="7.59765625" customWidth="1"/>
    <col min="7192" max="7192" width="5.3984375" customWidth="1"/>
    <col min="7193" max="7193" width="7.59765625" customWidth="1"/>
    <col min="7194" max="7194" width="5.3984375" bestFit="1" customWidth="1"/>
    <col min="7195" max="7195" width="7.59765625" customWidth="1"/>
    <col min="7196" max="7196" width="5.3984375" customWidth="1"/>
    <col min="7197" max="7197" width="7.59765625" customWidth="1"/>
    <col min="7198" max="7198" width="5.3984375" bestFit="1" customWidth="1"/>
    <col min="7199" max="7199" width="7.59765625" customWidth="1"/>
    <col min="7200" max="7200" width="5.3984375" customWidth="1"/>
    <col min="7201" max="7201" width="7.59765625" customWidth="1"/>
    <col min="7202" max="7202" width="5.3984375" bestFit="1" customWidth="1"/>
    <col min="7203" max="7203" width="7.59765625" customWidth="1"/>
    <col min="7204" max="7204" width="5.3984375" customWidth="1"/>
    <col min="7205" max="7205" width="7.59765625" customWidth="1"/>
    <col min="7206" max="7206" width="5.3984375" bestFit="1" customWidth="1"/>
    <col min="7207" max="7207" width="7.59765625" customWidth="1"/>
    <col min="7208" max="7208" width="5.3984375" customWidth="1"/>
    <col min="7209" max="7209" width="7.59765625" customWidth="1"/>
    <col min="7210" max="7210" width="5.3984375" bestFit="1" customWidth="1"/>
    <col min="7211" max="7211" width="7.59765625" customWidth="1"/>
    <col min="7212" max="7212" width="5.3984375" customWidth="1"/>
    <col min="7213" max="7213" width="7.59765625" customWidth="1"/>
    <col min="7214" max="7214" width="5.3984375" bestFit="1" customWidth="1"/>
    <col min="7215" max="7215" width="7.59765625" customWidth="1"/>
    <col min="7216" max="7216" width="5.3984375" customWidth="1"/>
    <col min="7217" max="7217" width="7.59765625" customWidth="1"/>
    <col min="7218" max="7218" width="5.3984375" bestFit="1" customWidth="1"/>
    <col min="7219" max="7219" width="7.59765625" customWidth="1"/>
    <col min="7220" max="7220" width="5.3984375" customWidth="1"/>
    <col min="7221" max="7221" width="7.59765625" customWidth="1"/>
    <col min="7222" max="7222" width="5.3984375" bestFit="1" customWidth="1"/>
    <col min="7223" max="7223" width="7.59765625" customWidth="1"/>
    <col min="7224" max="7224" width="5.3984375" customWidth="1"/>
    <col min="7225" max="7225" width="7.59765625" customWidth="1"/>
    <col min="7226" max="7226" width="5.3984375" bestFit="1" customWidth="1"/>
    <col min="7227" max="7227" width="7.59765625" customWidth="1"/>
    <col min="7228" max="7228" width="5.3984375" customWidth="1"/>
    <col min="7229" max="7229" width="7.59765625" customWidth="1"/>
    <col min="7230" max="7230" width="5.3984375" bestFit="1" customWidth="1"/>
    <col min="7231" max="7231" width="7.59765625" customWidth="1"/>
    <col min="7232" max="7232" width="5.3984375" customWidth="1"/>
    <col min="7233" max="7233" width="7.59765625" customWidth="1"/>
    <col min="7234" max="7234" width="5.3984375" bestFit="1" customWidth="1"/>
    <col min="7235" max="7235" width="7.59765625" customWidth="1"/>
    <col min="7236" max="7236" width="5.3984375" customWidth="1"/>
    <col min="7237" max="7237" width="7.59765625" customWidth="1"/>
    <col min="7238" max="7238" width="5.3984375" bestFit="1" customWidth="1"/>
    <col min="7240" max="7241" width="5.3984375" bestFit="1" customWidth="1"/>
    <col min="7242" max="7242" width="2.09765625" bestFit="1" customWidth="1"/>
    <col min="7393" max="7393" width="4.3984375" customWidth="1"/>
    <col min="7394" max="7394" width="30.5" customWidth="1"/>
    <col min="7397" max="7397" width="10.69921875" customWidth="1"/>
    <col min="7398" max="7398" width="5.19921875" customWidth="1"/>
    <col min="7399" max="7399" width="7.59765625" customWidth="1"/>
    <col min="7400" max="7400" width="5.3984375" customWidth="1"/>
    <col min="7401" max="7401" width="7.59765625" customWidth="1"/>
    <col min="7402" max="7402" width="6" bestFit="1" customWidth="1"/>
    <col min="7403" max="7403" width="7.59765625" customWidth="1"/>
    <col min="7404" max="7404" width="5.3984375" customWidth="1"/>
    <col min="7405" max="7405" width="7.59765625" customWidth="1"/>
    <col min="7406" max="7406" width="5.3984375" bestFit="1" customWidth="1"/>
    <col min="7407" max="7407" width="7.59765625" customWidth="1"/>
    <col min="7408" max="7408" width="5.3984375" customWidth="1"/>
    <col min="7409" max="7409" width="7.59765625" customWidth="1"/>
    <col min="7410" max="7410" width="5.3984375" bestFit="1" customWidth="1"/>
    <col min="7411" max="7411" width="7.59765625" customWidth="1"/>
    <col min="7412" max="7412" width="5.3984375" customWidth="1"/>
    <col min="7413" max="7413" width="7.59765625" customWidth="1"/>
    <col min="7414" max="7414" width="5.3984375" bestFit="1" customWidth="1"/>
    <col min="7415" max="7415" width="7.59765625" customWidth="1"/>
    <col min="7416" max="7416" width="5.3984375" customWidth="1"/>
    <col min="7417" max="7417" width="7.59765625" customWidth="1"/>
    <col min="7418" max="7418" width="5.3984375" bestFit="1" customWidth="1"/>
    <col min="7419" max="7419" width="7.59765625" customWidth="1"/>
    <col min="7420" max="7420" width="5.3984375" customWidth="1"/>
    <col min="7421" max="7421" width="7.59765625" customWidth="1"/>
    <col min="7422" max="7422" width="5.3984375" bestFit="1" customWidth="1"/>
    <col min="7423" max="7423" width="7.59765625" customWidth="1"/>
    <col min="7424" max="7424" width="5.3984375" customWidth="1"/>
    <col min="7425" max="7425" width="7.59765625" customWidth="1"/>
    <col min="7426" max="7426" width="5.3984375" bestFit="1" customWidth="1"/>
    <col min="7427" max="7427" width="7.59765625" customWidth="1"/>
    <col min="7428" max="7428" width="5.3984375" customWidth="1"/>
    <col min="7429" max="7429" width="7.59765625" customWidth="1"/>
    <col min="7430" max="7430" width="5.3984375" bestFit="1" customWidth="1"/>
    <col min="7431" max="7431" width="7.59765625" customWidth="1"/>
    <col min="7432" max="7432" width="5.3984375" customWidth="1"/>
    <col min="7433" max="7433" width="7.59765625" customWidth="1"/>
    <col min="7434" max="7434" width="5.3984375" bestFit="1" customWidth="1"/>
    <col min="7435" max="7435" width="7.59765625" customWidth="1"/>
    <col min="7436" max="7436" width="5.3984375" customWidth="1"/>
    <col min="7437" max="7437" width="7.59765625" customWidth="1"/>
    <col min="7438" max="7438" width="5.3984375" bestFit="1" customWidth="1"/>
    <col min="7439" max="7439" width="7.59765625" customWidth="1"/>
    <col min="7440" max="7440" width="5.3984375" customWidth="1"/>
    <col min="7441" max="7441" width="7.59765625" customWidth="1"/>
    <col min="7442" max="7442" width="5.3984375" bestFit="1" customWidth="1"/>
    <col min="7443" max="7443" width="7.59765625" customWidth="1"/>
    <col min="7444" max="7444" width="5.3984375" customWidth="1"/>
    <col min="7445" max="7445" width="7.59765625" customWidth="1"/>
    <col min="7446" max="7446" width="5.3984375" bestFit="1" customWidth="1"/>
    <col min="7447" max="7447" width="7.59765625" customWidth="1"/>
    <col min="7448" max="7448" width="5.3984375" customWidth="1"/>
    <col min="7449" max="7449" width="7.59765625" customWidth="1"/>
    <col min="7450" max="7450" width="5.3984375" bestFit="1" customWidth="1"/>
    <col min="7451" max="7451" width="7.59765625" customWidth="1"/>
    <col min="7452" max="7452" width="5.3984375" customWidth="1"/>
    <col min="7453" max="7453" width="7.59765625" customWidth="1"/>
    <col min="7454" max="7454" width="5.3984375" bestFit="1" customWidth="1"/>
    <col min="7455" max="7455" width="7.59765625" customWidth="1"/>
    <col min="7456" max="7456" width="5.3984375" customWidth="1"/>
    <col min="7457" max="7457" width="7.59765625" customWidth="1"/>
    <col min="7458" max="7458" width="5.3984375" bestFit="1" customWidth="1"/>
    <col min="7459" max="7459" width="7.59765625" customWidth="1"/>
    <col min="7460" max="7460" width="5.3984375" customWidth="1"/>
    <col min="7461" max="7461" width="7.59765625" customWidth="1"/>
    <col min="7462" max="7462" width="5.3984375" bestFit="1" customWidth="1"/>
    <col min="7463" max="7463" width="7.59765625" customWidth="1"/>
    <col min="7464" max="7464" width="5.3984375" customWidth="1"/>
    <col min="7465" max="7465" width="7.59765625" customWidth="1"/>
    <col min="7466" max="7466" width="5.3984375" bestFit="1" customWidth="1"/>
    <col min="7467" max="7467" width="7.59765625" customWidth="1"/>
    <col min="7468" max="7468" width="5.3984375" customWidth="1"/>
    <col min="7469" max="7469" width="7.59765625" customWidth="1"/>
    <col min="7470" max="7470" width="5.3984375" bestFit="1" customWidth="1"/>
    <col min="7471" max="7471" width="7.59765625" customWidth="1"/>
    <col min="7472" max="7472" width="5.3984375" customWidth="1"/>
    <col min="7473" max="7473" width="7.59765625" customWidth="1"/>
    <col min="7474" max="7474" width="5.3984375" bestFit="1" customWidth="1"/>
    <col min="7475" max="7475" width="7.59765625" customWidth="1"/>
    <col min="7476" max="7476" width="5.3984375" customWidth="1"/>
    <col min="7477" max="7477" width="7.59765625" customWidth="1"/>
    <col min="7478" max="7478" width="5.3984375" bestFit="1" customWidth="1"/>
    <col min="7479" max="7479" width="7.59765625" customWidth="1"/>
    <col min="7480" max="7480" width="5.3984375" customWidth="1"/>
    <col min="7481" max="7481" width="7.59765625" customWidth="1"/>
    <col min="7482" max="7482" width="5.3984375" bestFit="1" customWidth="1"/>
    <col min="7483" max="7483" width="7.59765625" customWidth="1"/>
    <col min="7484" max="7484" width="5.3984375" customWidth="1"/>
    <col min="7485" max="7485" width="7.59765625" customWidth="1"/>
    <col min="7486" max="7486" width="5.3984375" bestFit="1" customWidth="1"/>
    <col min="7487" max="7487" width="7.59765625" customWidth="1"/>
    <col min="7488" max="7488" width="5.3984375" customWidth="1"/>
    <col min="7489" max="7489" width="7.59765625" customWidth="1"/>
    <col min="7490" max="7490" width="5.3984375" bestFit="1" customWidth="1"/>
    <col min="7491" max="7491" width="7.59765625" customWidth="1"/>
    <col min="7492" max="7492" width="5.3984375" customWidth="1"/>
    <col min="7493" max="7493" width="7.59765625" customWidth="1"/>
    <col min="7494" max="7494" width="5.3984375" bestFit="1" customWidth="1"/>
    <col min="7496" max="7497" width="5.3984375" bestFit="1" customWidth="1"/>
    <col min="7498" max="7498" width="2.09765625" bestFit="1" customWidth="1"/>
    <col min="7649" max="7649" width="4.3984375" customWidth="1"/>
    <col min="7650" max="7650" width="30.5" customWidth="1"/>
    <col min="7653" max="7653" width="10.69921875" customWidth="1"/>
    <col min="7654" max="7654" width="5.19921875" customWidth="1"/>
    <col min="7655" max="7655" width="7.59765625" customWidth="1"/>
    <col min="7656" max="7656" width="5.3984375" customWidth="1"/>
    <col min="7657" max="7657" width="7.59765625" customWidth="1"/>
    <col min="7658" max="7658" width="6" bestFit="1" customWidth="1"/>
    <col min="7659" max="7659" width="7.59765625" customWidth="1"/>
    <col min="7660" max="7660" width="5.3984375" customWidth="1"/>
    <col min="7661" max="7661" width="7.59765625" customWidth="1"/>
    <col min="7662" max="7662" width="5.3984375" bestFit="1" customWidth="1"/>
    <col min="7663" max="7663" width="7.59765625" customWidth="1"/>
    <col min="7664" max="7664" width="5.3984375" customWidth="1"/>
    <col min="7665" max="7665" width="7.59765625" customWidth="1"/>
    <col min="7666" max="7666" width="5.3984375" bestFit="1" customWidth="1"/>
    <col min="7667" max="7667" width="7.59765625" customWidth="1"/>
    <col min="7668" max="7668" width="5.3984375" customWidth="1"/>
    <col min="7669" max="7669" width="7.59765625" customWidth="1"/>
    <col min="7670" max="7670" width="5.3984375" bestFit="1" customWidth="1"/>
    <col min="7671" max="7671" width="7.59765625" customWidth="1"/>
    <col min="7672" max="7672" width="5.3984375" customWidth="1"/>
    <col min="7673" max="7673" width="7.59765625" customWidth="1"/>
    <col min="7674" max="7674" width="5.3984375" bestFit="1" customWidth="1"/>
    <col min="7675" max="7675" width="7.59765625" customWidth="1"/>
    <col min="7676" max="7676" width="5.3984375" customWidth="1"/>
    <col min="7677" max="7677" width="7.59765625" customWidth="1"/>
    <col min="7678" max="7678" width="5.3984375" bestFit="1" customWidth="1"/>
    <col min="7679" max="7679" width="7.59765625" customWidth="1"/>
    <col min="7680" max="7680" width="5.3984375" customWidth="1"/>
    <col min="7681" max="7681" width="7.59765625" customWidth="1"/>
    <col min="7682" max="7682" width="5.3984375" bestFit="1" customWidth="1"/>
    <col min="7683" max="7683" width="7.59765625" customWidth="1"/>
    <col min="7684" max="7684" width="5.3984375" customWidth="1"/>
    <col min="7685" max="7685" width="7.59765625" customWidth="1"/>
    <col min="7686" max="7686" width="5.3984375" bestFit="1" customWidth="1"/>
    <col min="7687" max="7687" width="7.59765625" customWidth="1"/>
    <col min="7688" max="7688" width="5.3984375" customWidth="1"/>
    <col min="7689" max="7689" width="7.59765625" customWidth="1"/>
    <col min="7690" max="7690" width="5.3984375" bestFit="1" customWidth="1"/>
    <col min="7691" max="7691" width="7.59765625" customWidth="1"/>
    <col min="7692" max="7692" width="5.3984375" customWidth="1"/>
    <col min="7693" max="7693" width="7.59765625" customWidth="1"/>
    <col min="7694" max="7694" width="5.3984375" bestFit="1" customWidth="1"/>
    <col min="7695" max="7695" width="7.59765625" customWidth="1"/>
    <col min="7696" max="7696" width="5.3984375" customWidth="1"/>
    <col min="7697" max="7697" width="7.59765625" customWidth="1"/>
    <col min="7698" max="7698" width="5.3984375" bestFit="1" customWidth="1"/>
    <col min="7699" max="7699" width="7.59765625" customWidth="1"/>
    <col min="7700" max="7700" width="5.3984375" customWidth="1"/>
    <col min="7701" max="7701" width="7.59765625" customWidth="1"/>
    <col min="7702" max="7702" width="5.3984375" bestFit="1" customWidth="1"/>
    <col min="7703" max="7703" width="7.59765625" customWidth="1"/>
    <col min="7704" max="7704" width="5.3984375" customWidth="1"/>
    <col min="7705" max="7705" width="7.59765625" customWidth="1"/>
    <col min="7706" max="7706" width="5.3984375" bestFit="1" customWidth="1"/>
    <col min="7707" max="7707" width="7.59765625" customWidth="1"/>
    <col min="7708" max="7708" width="5.3984375" customWidth="1"/>
    <col min="7709" max="7709" width="7.59765625" customWidth="1"/>
    <col min="7710" max="7710" width="5.3984375" bestFit="1" customWidth="1"/>
    <col min="7711" max="7711" width="7.59765625" customWidth="1"/>
    <col min="7712" max="7712" width="5.3984375" customWidth="1"/>
    <col min="7713" max="7713" width="7.59765625" customWidth="1"/>
    <col min="7714" max="7714" width="5.3984375" bestFit="1" customWidth="1"/>
    <col min="7715" max="7715" width="7.59765625" customWidth="1"/>
    <col min="7716" max="7716" width="5.3984375" customWidth="1"/>
    <col min="7717" max="7717" width="7.59765625" customWidth="1"/>
    <col min="7718" max="7718" width="5.3984375" bestFit="1" customWidth="1"/>
    <col min="7719" max="7719" width="7.59765625" customWidth="1"/>
    <col min="7720" max="7720" width="5.3984375" customWidth="1"/>
    <col min="7721" max="7721" width="7.59765625" customWidth="1"/>
    <col min="7722" max="7722" width="5.3984375" bestFit="1" customWidth="1"/>
    <col min="7723" max="7723" width="7.59765625" customWidth="1"/>
    <col min="7724" max="7724" width="5.3984375" customWidth="1"/>
    <col min="7725" max="7725" width="7.59765625" customWidth="1"/>
    <col min="7726" max="7726" width="5.3984375" bestFit="1" customWidth="1"/>
    <col min="7727" max="7727" width="7.59765625" customWidth="1"/>
    <col min="7728" max="7728" width="5.3984375" customWidth="1"/>
    <col min="7729" max="7729" width="7.59765625" customWidth="1"/>
    <col min="7730" max="7730" width="5.3984375" bestFit="1" customWidth="1"/>
    <col min="7731" max="7731" width="7.59765625" customWidth="1"/>
    <col min="7732" max="7732" width="5.3984375" customWidth="1"/>
    <col min="7733" max="7733" width="7.59765625" customWidth="1"/>
    <col min="7734" max="7734" width="5.3984375" bestFit="1" customWidth="1"/>
    <col min="7735" max="7735" width="7.59765625" customWidth="1"/>
    <col min="7736" max="7736" width="5.3984375" customWidth="1"/>
    <col min="7737" max="7737" width="7.59765625" customWidth="1"/>
    <col min="7738" max="7738" width="5.3984375" bestFit="1" customWidth="1"/>
    <col min="7739" max="7739" width="7.59765625" customWidth="1"/>
    <col min="7740" max="7740" width="5.3984375" customWidth="1"/>
    <col min="7741" max="7741" width="7.59765625" customWidth="1"/>
    <col min="7742" max="7742" width="5.3984375" bestFit="1" customWidth="1"/>
    <col min="7743" max="7743" width="7.59765625" customWidth="1"/>
    <col min="7744" max="7744" width="5.3984375" customWidth="1"/>
    <col min="7745" max="7745" width="7.59765625" customWidth="1"/>
    <col min="7746" max="7746" width="5.3984375" bestFit="1" customWidth="1"/>
    <col min="7747" max="7747" width="7.59765625" customWidth="1"/>
    <col min="7748" max="7748" width="5.3984375" customWidth="1"/>
    <col min="7749" max="7749" width="7.59765625" customWidth="1"/>
    <col min="7750" max="7750" width="5.3984375" bestFit="1" customWidth="1"/>
    <col min="7752" max="7753" width="5.3984375" bestFit="1" customWidth="1"/>
    <col min="7754" max="7754" width="2.09765625" bestFit="1" customWidth="1"/>
    <col min="7905" max="7905" width="4.3984375" customWidth="1"/>
    <col min="7906" max="7906" width="30.5" customWidth="1"/>
    <col min="7909" max="7909" width="10.69921875" customWidth="1"/>
    <col min="7910" max="7910" width="5.19921875" customWidth="1"/>
    <col min="7911" max="7911" width="7.59765625" customWidth="1"/>
    <col min="7912" max="7912" width="5.3984375" customWidth="1"/>
    <col min="7913" max="7913" width="7.59765625" customWidth="1"/>
    <col min="7914" max="7914" width="6" bestFit="1" customWidth="1"/>
    <col min="7915" max="7915" width="7.59765625" customWidth="1"/>
    <col min="7916" max="7916" width="5.3984375" customWidth="1"/>
    <col min="7917" max="7917" width="7.59765625" customWidth="1"/>
    <col min="7918" max="7918" width="5.3984375" bestFit="1" customWidth="1"/>
    <col min="7919" max="7919" width="7.59765625" customWidth="1"/>
    <col min="7920" max="7920" width="5.3984375" customWidth="1"/>
    <col min="7921" max="7921" width="7.59765625" customWidth="1"/>
    <col min="7922" max="7922" width="5.3984375" bestFit="1" customWidth="1"/>
    <col min="7923" max="7923" width="7.59765625" customWidth="1"/>
    <col min="7924" max="7924" width="5.3984375" customWidth="1"/>
    <col min="7925" max="7925" width="7.59765625" customWidth="1"/>
    <col min="7926" max="7926" width="5.3984375" bestFit="1" customWidth="1"/>
    <col min="7927" max="7927" width="7.59765625" customWidth="1"/>
    <col min="7928" max="7928" width="5.3984375" customWidth="1"/>
    <col min="7929" max="7929" width="7.59765625" customWidth="1"/>
    <col min="7930" max="7930" width="5.3984375" bestFit="1" customWidth="1"/>
    <col min="7931" max="7931" width="7.59765625" customWidth="1"/>
    <col min="7932" max="7932" width="5.3984375" customWidth="1"/>
    <col min="7933" max="7933" width="7.59765625" customWidth="1"/>
    <col min="7934" max="7934" width="5.3984375" bestFit="1" customWidth="1"/>
    <col min="7935" max="7935" width="7.59765625" customWidth="1"/>
    <col min="7936" max="7936" width="5.3984375" customWidth="1"/>
    <col min="7937" max="7937" width="7.59765625" customWidth="1"/>
    <col min="7938" max="7938" width="5.3984375" bestFit="1" customWidth="1"/>
    <col min="7939" max="7939" width="7.59765625" customWidth="1"/>
    <col min="7940" max="7940" width="5.3984375" customWidth="1"/>
    <col min="7941" max="7941" width="7.59765625" customWidth="1"/>
    <col min="7942" max="7942" width="5.3984375" bestFit="1" customWidth="1"/>
    <col min="7943" max="7943" width="7.59765625" customWidth="1"/>
    <col min="7944" max="7944" width="5.3984375" customWidth="1"/>
    <col min="7945" max="7945" width="7.59765625" customWidth="1"/>
    <col min="7946" max="7946" width="5.3984375" bestFit="1" customWidth="1"/>
    <col min="7947" max="7947" width="7.59765625" customWidth="1"/>
    <col min="7948" max="7948" width="5.3984375" customWidth="1"/>
    <col min="7949" max="7949" width="7.59765625" customWidth="1"/>
    <col min="7950" max="7950" width="5.3984375" bestFit="1" customWidth="1"/>
    <col min="7951" max="7951" width="7.59765625" customWidth="1"/>
    <col min="7952" max="7952" width="5.3984375" customWidth="1"/>
    <col min="7953" max="7953" width="7.59765625" customWidth="1"/>
    <col min="7954" max="7954" width="5.3984375" bestFit="1" customWidth="1"/>
    <col min="7955" max="7955" width="7.59765625" customWidth="1"/>
    <col min="7956" max="7956" width="5.3984375" customWidth="1"/>
    <col min="7957" max="7957" width="7.59765625" customWidth="1"/>
    <col min="7958" max="7958" width="5.3984375" bestFit="1" customWidth="1"/>
    <col min="7959" max="7959" width="7.59765625" customWidth="1"/>
    <col min="7960" max="7960" width="5.3984375" customWidth="1"/>
    <col min="7961" max="7961" width="7.59765625" customWidth="1"/>
    <col min="7962" max="7962" width="5.3984375" bestFit="1" customWidth="1"/>
    <col min="7963" max="7963" width="7.59765625" customWidth="1"/>
    <col min="7964" max="7964" width="5.3984375" customWidth="1"/>
    <col min="7965" max="7965" width="7.59765625" customWidth="1"/>
    <col min="7966" max="7966" width="5.3984375" bestFit="1" customWidth="1"/>
    <col min="7967" max="7967" width="7.59765625" customWidth="1"/>
    <col min="7968" max="7968" width="5.3984375" customWidth="1"/>
    <col min="7969" max="7969" width="7.59765625" customWidth="1"/>
    <col min="7970" max="7970" width="5.3984375" bestFit="1" customWidth="1"/>
    <col min="7971" max="7971" width="7.59765625" customWidth="1"/>
    <col min="7972" max="7972" width="5.3984375" customWidth="1"/>
    <col min="7973" max="7973" width="7.59765625" customWidth="1"/>
    <col min="7974" max="7974" width="5.3984375" bestFit="1" customWidth="1"/>
    <col min="7975" max="7975" width="7.59765625" customWidth="1"/>
    <col min="7976" max="7976" width="5.3984375" customWidth="1"/>
    <col min="7977" max="7977" width="7.59765625" customWidth="1"/>
    <col min="7978" max="7978" width="5.3984375" bestFit="1" customWidth="1"/>
    <col min="7979" max="7979" width="7.59765625" customWidth="1"/>
    <col min="7980" max="7980" width="5.3984375" customWidth="1"/>
    <col min="7981" max="7981" width="7.59765625" customWidth="1"/>
    <col min="7982" max="7982" width="5.3984375" bestFit="1" customWidth="1"/>
    <col min="7983" max="7983" width="7.59765625" customWidth="1"/>
    <col min="7984" max="7984" width="5.3984375" customWidth="1"/>
    <col min="7985" max="7985" width="7.59765625" customWidth="1"/>
    <col min="7986" max="7986" width="5.3984375" bestFit="1" customWidth="1"/>
    <col min="7987" max="7987" width="7.59765625" customWidth="1"/>
    <col min="7988" max="7988" width="5.3984375" customWidth="1"/>
    <col min="7989" max="7989" width="7.59765625" customWidth="1"/>
    <col min="7990" max="7990" width="5.3984375" bestFit="1" customWidth="1"/>
    <col min="7991" max="7991" width="7.59765625" customWidth="1"/>
    <col min="7992" max="7992" width="5.3984375" customWidth="1"/>
    <col min="7993" max="7993" width="7.59765625" customWidth="1"/>
    <col min="7994" max="7994" width="5.3984375" bestFit="1" customWidth="1"/>
    <col min="7995" max="7995" width="7.59765625" customWidth="1"/>
    <col min="7996" max="7996" width="5.3984375" customWidth="1"/>
    <col min="7997" max="7997" width="7.59765625" customWidth="1"/>
    <col min="7998" max="7998" width="5.3984375" bestFit="1" customWidth="1"/>
    <col min="7999" max="7999" width="7.59765625" customWidth="1"/>
    <col min="8000" max="8000" width="5.3984375" customWidth="1"/>
    <col min="8001" max="8001" width="7.59765625" customWidth="1"/>
    <col min="8002" max="8002" width="5.3984375" bestFit="1" customWidth="1"/>
    <col min="8003" max="8003" width="7.59765625" customWidth="1"/>
    <col min="8004" max="8004" width="5.3984375" customWidth="1"/>
    <col min="8005" max="8005" width="7.59765625" customWidth="1"/>
    <col min="8006" max="8006" width="5.3984375" bestFit="1" customWidth="1"/>
    <col min="8008" max="8009" width="5.3984375" bestFit="1" customWidth="1"/>
    <col min="8010" max="8010" width="2.09765625" bestFit="1" customWidth="1"/>
    <col min="8161" max="8161" width="4.3984375" customWidth="1"/>
    <col min="8162" max="8162" width="30.5" customWidth="1"/>
    <col min="8165" max="8165" width="10.69921875" customWidth="1"/>
    <col min="8166" max="8166" width="5.19921875" customWidth="1"/>
    <col min="8167" max="8167" width="7.59765625" customWidth="1"/>
    <col min="8168" max="8168" width="5.3984375" customWidth="1"/>
    <col min="8169" max="8169" width="7.59765625" customWidth="1"/>
    <col min="8170" max="8170" width="6" bestFit="1" customWidth="1"/>
    <col min="8171" max="8171" width="7.59765625" customWidth="1"/>
    <col min="8172" max="8172" width="5.3984375" customWidth="1"/>
    <col min="8173" max="8173" width="7.59765625" customWidth="1"/>
    <col min="8174" max="8174" width="5.3984375" bestFit="1" customWidth="1"/>
    <col min="8175" max="8175" width="7.59765625" customWidth="1"/>
    <col min="8176" max="8176" width="5.3984375" customWidth="1"/>
    <col min="8177" max="8177" width="7.59765625" customWidth="1"/>
    <col min="8178" max="8178" width="5.3984375" bestFit="1" customWidth="1"/>
    <col min="8179" max="8179" width="7.59765625" customWidth="1"/>
    <col min="8180" max="8180" width="5.3984375" customWidth="1"/>
    <col min="8181" max="8181" width="7.59765625" customWidth="1"/>
    <col min="8182" max="8182" width="5.3984375" bestFit="1" customWidth="1"/>
    <col min="8183" max="8183" width="7.59765625" customWidth="1"/>
    <col min="8184" max="8184" width="5.3984375" customWidth="1"/>
    <col min="8185" max="8185" width="7.59765625" customWidth="1"/>
    <col min="8186" max="8186" width="5.3984375" bestFit="1" customWidth="1"/>
    <col min="8187" max="8187" width="7.59765625" customWidth="1"/>
    <col min="8188" max="8188" width="5.3984375" customWidth="1"/>
    <col min="8189" max="8189" width="7.59765625" customWidth="1"/>
    <col min="8190" max="8190" width="5.3984375" bestFit="1" customWidth="1"/>
    <col min="8191" max="8191" width="7.59765625" customWidth="1"/>
    <col min="8192" max="8192" width="5.3984375" customWidth="1"/>
    <col min="8193" max="8193" width="7.59765625" customWidth="1"/>
    <col min="8194" max="8194" width="5.3984375" bestFit="1" customWidth="1"/>
    <col min="8195" max="8195" width="7.59765625" customWidth="1"/>
    <col min="8196" max="8196" width="5.3984375" customWidth="1"/>
    <col min="8197" max="8197" width="7.59765625" customWidth="1"/>
    <col min="8198" max="8198" width="5.3984375" bestFit="1" customWidth="1"/>
    <col min="8199" max="8199" width="7.59765625" customWidth="1"/>
    <col min="8200" max="8200" width="5.3984375" customWidth="1"/>
    <col min="8201" max="8201" width="7.59765625" customWidth="1"/>
    <col min="8202" max="8202" width="5.3984375" bestFit="1" customWidth="1"/>
    <col min="8203" max="8203" width="7.59765625" customWidth="1"/>
    <col min="8204" max="8204" width="5.3984375" customWidth="1"/>
    <col min="8205" max="8205" width="7.59765625" customWidth="1"/>
    <col min="8206" max="8206" width="5.3984375" bestFit="1" customWidth="1"/>
    <col min="8207" max="8207" width="7.59765625" customWidth="1"/>
    <col min="8208" max="8208" width="5.3984375" customWidth="1"/>
    <col min="8209" max="8209" width="7.59765625" customWidth="1"/>
    <col min="8210" max="8210" width="5.3984375" bestFit="1" customWidth="1"/>
    <col min="8211" max="8211" width="7.59765625" customWidth="1"/>
    <col min="8212" max="8212" width="5.3984375" customWidth="1"/>
    <col min="8213" max="8213" width="7.59765625" customWidth="1"/>
    <col min="8214" max="8214" width="5.3984375" bestFit="1" customWidth="1"/>
    <col min="8215" max="8215" width="7.59765625" customWidth="1"/>
    <col min="8216" max="8216" width="5.3984375" customWidth="1"/>
    <col min="8217" max="8217" width="7.59765625" customWidth="1"/>
    <col min="8218" max="8218" width="5.3984375" bestFit="1" customWidth="1"/>
    <col min="8219" max="8219" width="7.59765625" customWidth="1"/>
    <col min="8220" max="8220" width="5.3984375" customWidth="1"/>
    <col min="8221" max="8221" width="7.59765625" customWidth="1"/>
    <col min="8222" max="8222" width="5.3984375" bestFit="1" customWidth="1"/>
    <col min="8223" max="8223" width="7.59765625" customWidth="1"/>
    <col min="8224" max="8224" width="5.3984375" customWidth="1"/>
    <col min="8225" max="8225" width="7.59765625" customWidth="1"/>
    <col min="8226" max="8226" width="5.3984375" bestFit="1" customWidth="1"/>
    <col min="8227" max="8227" width="7.59765625" customWidth="1"/>
    <col min="8228" max="8228" width="5.3984375" customWidth="1"/>
    <col min="8229" max="8229" width="7.59765625" customWidth="1"/>
    <col min="8230" max="8230" width="5.3984375" bestFit="1" customWidth="1"/>
    <col min="8231" max="8231" width="7.59765625" customWidth="1"/>
    <col min="8232" max="8232" width="5.3984375" customWidth="1"/>
    <col min="8233" max="8233" width="7.59765625" customWidth="1"/>
    <col min="8234" max="8234" width="5.3984375" bestFit="1" customWidth="1"/>
    <col min="8235" max="8235" width="7.59765625" customWidth="1"/>
    <col min="8236" max="8236" width="5.3984375" customWidth="1"/>
    <col min="8237" max="8237" width="7.59765625" customWidth="1"/>
    <col min="8238" max="8238" width="5.3984375" bestFit="1" customWidth="1"/>
    <col min="8239" max="8239" width="7.59765625" customWidth="1"/>
    <col min="8240" max="8240" width="5.3984375" customWidth="1"/>
    <col min="8241" max="8241" width="7.59765625" customWidth="1"/>
    <col min="8242" max="8242" width="5.3984375" bestFit="1" customWidth="1"/>
    <col min="8243" max="8243" width="7.59765625" customWidth="1"/>
    <col min="8244" max="8244" width="5.3984375" customWidth="1"/>
    <col min="8245" max="8245" width="7.59765625" customWidth="1"/>
    <col min="8246" max="8246" width="5.3984375" bestFit="1" customWidth="1"/>
    <col min="8247" max="8247" width="7.59765625" customWidth="1"/>
    <col min="8248" max="8248" width="5.3984375" customWidth="1"/>
    <col min="8249" max="8249" width="7.59765625" customWidth="1"/>
    <col min="8250" max="8250" width="5.3984375" bestFit="1" customWidth="1"/>
    <col min="8251" max="8251" width="7.59765625" customWidth="1"/>
    <col min="8252" max="8252" width="5.3984375" customWidth="1"/>
    <col min="8253" max="8253" width="7.59765625" customWidth="1"/>
    <col min="8254" max="8254" width="5.3984375" bestFit="1" customWidth="1"/>
    <col min="8255" max="8255" width="7.59765625" customWidth="1"/>
    <col min="8256" max="8256" width="5.3984375" customWidth="1"/>
    <col min="8257" max="8257" width="7.59765625" customWidth="1"/>
    <col min="8258" max="8258" width="5.3984375" bestFit="1" customWidth="1"/>
    <col min="8259" max="8259" width="7.59765625" customWidth="1"/>
    <col min="8260" max="8260" width="5.3984375" customWidth="1"/>
    <col min="8261" max="8261" width="7.59765625" customWidth="1"/>
    <col min="8262" max="8262" width="5.3984375" bestFit="1" customWidth="1"/>
    <col min="8264" max="8265" width="5.3984375" bestFit="1" customWidth="1"/>
    <col min="8266" max="8266" width="2.09765625" bestFit="1" customWidth="1"/>
    <col min="8417" max="8417" width="4.3984375" customWidth="1"/>
    <col min="8418" max="8418" width="30.5" customWidth="1"/>
    <col min="8421" max="8421" width="10.69921875" customWidth="1"/>
    <col min="8422" max="8422" width="5.19921875" customWidth="1"/>
    <col min="8423" max="8423" width="7.59765625" customWidth="1"/>
    <col min="8424" max="8424" width="5.3984375" customWidth="1"/>
    <col min="8425" max="8425" width="7.59765625" customWidth="1"/>
    <col min="8426" max="8426" width="6" bestFit="1" customWidth="1"/>
    <col min="8427" max="8427" width="7.59765625" customWidth="1"/>
    <col min="8428" max="8428" width="5.3984375" customWidth="1"/>
    <col min="8429" max="8429" width="7.59765625" customWidth="1"/>
    <col min="8430" max="8430" width="5.3984375" bestFit="1" customWidth="1"/>
    <col min="8431" max="8431" width="7.59765625" customWidth="1"/>
    <col min="8432" max="8432" width="5.3984375" customWidth="1"/>
    <col min="8433" max="8433" width="7.59765625" customWidth="1"/>
    <col min="8434" max="8434" width="5.3984375" bestFit="1" customWidth="1"/>
    <col min="8435" max="8435" width="7.59765625" customWidth="1"/>
    <col min="8436" max="8436" width="5.3984375" customWidth="1"/>
    <col min="8437" max="8437" width="7.59765625" customWidth="1"/>
    <col min="8438" max="8438" width="5.3984375" bestFit="1" customWidth="1"/>
    <col min="8439" max="8439" width="7.59765625" customWidth="1"/>
    <col min="8440" max="8440" width="5.3984375" customWidth="1"/>
    <col min="8441" max="8441" width="7.59765625" customWidth="1"/>
    <col min="8442" max="8442" width="5.3984375" bestFit="1" customWidth="1"/>
    <col min="8443" max="8443" width="7.59765625" customWidth="1"/>
    <col min="8444" max="8444" width="5.3984375" customWidth="1"/>
    <col min="8445" max="8445" width="7.59765625" customWidth="1"/>
    <col min="8446" max="8446" width="5.3984375" bestFit="1" customWidth="1"/>
    <col min="8447" max="8447" width="7.59765625" customWidth="1"/>
    <col min="8448" max="8448" width="5.3984375" customWidth="1"/>
    <col min="8449" max="8449" width="7.59765625" customWidth="1"/>
    <col min="8450" max="8450" width="5.3984375" bestFit="1" customWidth="1"/>
    <col min="8451" max="8451" width="7.59765625" customWidth="1"/>
    <col min="8452" max="8452" width="5.3984375" customWidth="1"/>
    <col min="8453" max="8453" width="7.59765625" customWidth="1"/>
    <col min="8454" max="8454" width="5.3984375" bestFit="1" customWidth="1"/>
    <col min="8455" max="8455" width="7.59765625" customWidth="1"/>
    <col min="8456" max="8456" width="5.3984375" customWidth="1"/>
    <col min="8457" max="8457" width="7.59765625" customWidth="1"/>
    <col min="8458" max="8458" width="5.3984375" bestFit="1" customWidth="1"/>
    <col min="8459" max="8459" width="7.59765625" customWidth="1"/>
    <col min="8460" max="8460" width="5.3984375" customWidth="1"/>
    <col min="8461" max="8461" width="7.59765625" customWidth="1"/>
    <col min="8462" max="8462" width="5.3984375" bestFit="1" customWidth="1"/>
    <col min="8463" max="8463" width="7.59765625" customWidth="1"/>
    <col min="8464" max="8464" width="5.3984375" customWidth="1"/>
    <col min="8465" max="8465" width="7.59765625" customWidth="1"/>
    <col min="8466" max="8466" width="5.3984375" bestFit="1" customWidth="1"/>
    <col min="8467" max="8467" width="7.59765625" customWidth="1"/>
    <col min="8468" max="8468" width="5.3984375" customWidth="1"/>
    <col min="8469" max="8469" width="7.59765625" customWidth="1"/>
    <col min="8470" max="8470" width="5.3984375" bestFit="1" customWidth="1"/>
    <col min="8471" max="8471" width="7.59765625" customWidth="1"/>
    <col min="8472" max="8472" width="5.3984375" customWidth="1"/>
    <col min="8473" max="8473" width="7.59765625" customWidth="1"/>
    <col min="8474" max="8474" width="5.3984375" bestFit="1" customWidth="1"/>
    <col min="8475" max="8475" width="7.59765625" customWidth="1"/>
    <col min="8476" max="8476" width="5.3984375" customWidth="1"/>
    <col min="8477" max="8477" width="7.59765625" customWidth="1"/>
    <col min="8478" max="8478" width="5.3984375" bestFit="1" customWidth="1"/>
    <col min="8479" max="8479" width="7.59765625" customWidth="1"/>
    <col min="8480" max="8480" width="5.3984375" customWidth="1"/>
    <col min="8481" max="8481" width="7.59765625" customWidth="1"/>
    <col min="8482" max="8482" width="5.3984375" bestFit="1" customWidth="1"/>
    <col min="8483" max="8483" width="7.59765625" customWidth="1"/>
    <col min="8484" max="8484" width="5.3984375" customWidth="1"/>
    <col min="8485" max="8485" width="7.59765625" customWidth="1"/>
    <col min="8486" max="8486" width="5.3984375" bestFit="1" customWidth="1"/>
    <col min="8487" max="8487" width="7.59765625" customWidth="1"/>
    <col min="8488" max="8488" width="5.3984375" customWidth="1"/>
    <col min="8489" max="8489" width="7.59765625" customWidth="1"/>
    <col min="8490" max="8490" width="5.3984375" bestFit="1" customWidth="1"/>
    <col min="8491" max="8491" width="7.59765625" customWidth="1"/>
    <col min="8492" max="8492" width="5.3984375" customWidth="1"/>
    <col min="8493" max="8493" width="7.59765625" customWidth="1"/>
    <col min="8494" max="8494" width="5.3984375" bestFit="1" customWidth="1"/>
    <col min="8495" max="8495" width="7.59765625" customWidth="1"/>
    <col min="8496" max="8496" width="5.3984375" customWidth="1"/>
    <col min="8497" max="8497" width="7.59765625" customWidth="1"/>
    <col min="8498" max="8498" width="5.3984375" bestFit="1" customWidth="1"/>
    <col min="8499" max="8499" width="7.59765625" customWidth="1"/>
    <col min="8500" max="8500" width="5.3984375" customWidth="1"/>
    <col min="8501" max="8501" width="7.59765625" customWidth="1"/>
    <col min="8502" max="8502" width="5.3984375" bestFit="1" customWidth="1"/>
    <col min="8503" max="8503" width="7.59765625" customWidth="1"/>
    <col min="8504" max="8504" width="5.3984375" customWidth="1"/>
    <col min="8505" max="8505" width="7.59765625" customWidth="1"/>
    <col min="8506" max="8506" width="5.3984375" bestFit="1" customWidth="1"/>
    <col min="8507" max="8507" width="7.59765625" customWidth="1"/>
    <col min="8508" max="8508" width="5.3984375" customWidth="1"/>
    <col min="8509" max="8509" width="7.59765625" customWidth="1"/>
    <col min="8510" max="8510" width="5.3984375" bestFit="1" customWidth="1"/>
    <col min="8511" max="8511" width="7.59765625" customWidth="1"/>
    <col min="8512" max="8512" width="5.3984375" customWidth="1"/>
    <col min="8513" max="8513" width="7.59765625" customWidth="1"/>
    <col min="8514" max="8514" width="5.3984375" bestFit="1" customWidth="1"/>
    <col min="8515" max="8515" width="7.59765625" customWidth="1"/>
    <col min="8516" max="8516" width="5.3984375" customWidth="1"/>
    <col min="8517" max="8517" width="7.59765625" customWidth="1"/>
    <col min="8518" max="8518" width="5.3984375" bestFit="1" customWidth="1"/>
    <col min="8520" max="8521" width="5.3984375" bestFit="1" customWidth="1"/>
    <col min="8522" max="8522" width="2.09765625" bestFit="1" customWidth="1"/>
    <col min="8673" max="8673" width="4.3984375" customWidth="1"/>
    <col min="8674" max="8674" width="30.5" customWidth="1"/>
    <col min="8677" max="8677" width="10.69921875" customWidth="1"/>
    <col min="8678" max="8678" width="5.19921875" customWidth="1"/>
    <col min="8679" max="8679" width="7.59765625" customWidth="1"/>
    <col min="8680" max="8680" width="5.3984375" customWidth="1"/>
    <col min="8681" max="8681" width="7.59765625" customWidth="1"/>
    <col min="8682" max="8682" width="6" bestFit="1" customWidth="1"/>
    <col min="8683" max="8683" width="7.59765625" customWidth="1"/>
    <col min="8684" max="8684" width="5.3984375" customWidth="1"/>
    <col min="8685" max="8685" width="7.59765625" customWidth="1"/>
    <col min="8686" max="8686" width="5.3984375" bestFit="1" customWidth="1"/>
    <col min="8687" max="8687" width="7.59765625" customWidth="1"/>
    <col min="8688" max="8688" width="5.3984375" customWidth="1"/>
    <col min="8689" max="8689" width="7.59765625" customWidth="1"/>
    <col min="8690" max="8690" width="5.3984375" bestFit="1" customWidth="1"/>
    <col min="8691" max="8691" width="7.59765625" customWidth="1"/>
    <col min="8692" max="8692" width="5.3984375" customWidth="1"/>
    <col min="8693" max="8693" width="7.59765625" customWidth="1"/>
    <col min="8694" max="8694" width="5.3984375" bestFit="1" customWidth="1"/>
    <col min="8695" max="8695" width="7.59765625" customWidth="1"/>
    <col min="8696" max="8696" width="5.3984375" customWidth="1"/>
    <col min="8697" max="8697" width="7.59765625" customWidth="1"/>
    <col min="8698" max="8698" width="5.3984375" bestFit="1" customWidth="1"/>
    <col min="8699" max="8699" width="7.59765625" customWidth="1"/>
    <col min="8700" max="8700" width="5.3984375" customWidth="1"/>
    <col min="8701" max="8701" width="7.59765625" customWidth="1"/>
    <col min="8702" max="8702" width="5.3984375" bestFit="1" customWidth="1"/>
    <col min="8703" max="8703" width="7.59765625" customWidth="1"/>
    <col min="8704" max="8704" width="5.3984375" customWidth="1"/>
    <col min="8705" max="8705" width="7.59765625" customWidth="1"/>
    <col min="8706" max="8706" width="5.3984375" bestFit="1" customWidth="1"/>
    <col min="8707" max="8707" width="7.59765625" customWidth="1"/>
    <col min="8708" max="8708" width="5.3984375" customWidth="1"/>
    <col min="8709" max="8709" width="7.59765625" customWidth="1"/>
    <col min="8710" max="8710" width="5.3984375" bestFit="1" customWidth="1"/>
    <col min="8711" max="8711" width="7.59765625" customWidth="1"/>
    <col min="8712" max="8712" width="5.3984375" customWidth="1"/>
    <col min="8713" max="8713" width="7.59765625" customWidth="1"/>
    <col min="8714" max="8714" width="5.3984375" bestFit="1" customWidth="1"/>
    <col min="8715" max="8715" width="7.59765625" customWidth="1"/>
    <col min="8716" max="8716" width="5.3984375" customWidth="1"/>
    <col min="8717" max="8717" width="7.59765625" customWidth="1"/>
    <col min="8718" max="8718" width="5.3984375" bestFit="1" customWidth="1"/>
    <col min="8719" max="8719" width="7.59765625" customWidth="1"/>
    <col min="8720" max="8720" width="5.3984375" customWidth="1"/>
    <col min="8721" max="8721" width="7.59765625" customWidth="1"/>
    <col min="8722" max="8722" width="5.3984375" bestFit="1" customWidth="1"/>
    <col min="8723" max="8723" width="7.59765625" customWidth="1"/>
    <col min="8724" max="8724" width="5.3984375" customWidth="1"/>
    <col min="8725" max="8725" width="7.59765625" customWidth="1"/>
    <col min="8726" max="8726" width="5.3984375" bestFit="1" customWidth="1"/>
    <col min="8727" max="8727" width="7.59765625" customWidth="1"/>
    <col min="8728" max="8728" width="5.3984375" customWidth="1"/>
    <col min="8729" max="8729" width="7.59765625" customWidth="1"/>
    <col min="8730" max="8730" width="5.3984375" bestFit="1" customWidth="1"/>
    <col min="8731" max="8731" width="7.59765625" customWidth="1"/>
    <col min="8732" max="8732" width="5.3984375" customWidth="1"/>
    <col min="8733" max="8733" width="7.59765625" customWidth="1"/>
    <col min="8734" max="8734" width="5.3984375" bestFit="1" customWidth="1"/>
    <col min="8735" max="8735" width="7.59765625" customWidth="1"/>
    <col min="8736" max="8736" width="5.3984375" customWidth="1"/>
    <col min="8737" max="8737" width="7.59765625" customWidth="1"/>
    <col min="8738" max="8738" width="5.3984375" bestFit="1" customWidth="1"/>
    <col min="8739" max="8739" width="7.59765625" customWidth="1"/>
    <col min="8740" max="8740" width="5.3984375" customWidth="1"/>
    <col min="8741" max="8741" width="7.59765625" customWidth="1"/>
    <col min="8742" max="8742" width="5.3984375" bestFit="1" customWidth="1"/>
    <col min="8743" max="8743" width="7.59765625" customWidth="1"/>
    <col min="8744" max="8744" width="5.3984375" customWidth="1"/>
    <col min="8745" max="8745" width="7.59765625" customWidth="1"/>
    <col min="8746" max="8746" width="5.3984375" bestFit="1" customWidth="1"/>
    <col min="8747" max="8747" width="7.59765625" customWidth="1"/>
    <col min="8748" max="8748" width="5.3984375" customWidth="1"/>
    <col min="8749" max="8749" width="7.59765625" customWidth="1"/>
    <col min="8750" max="8750" width="5.3984375" bestFit="1" customWidth="1"/>
    <col min="8751" max="8751" width="7.59765625" customWidth="1"/>
    <col min="8752" max="8752" width="5.3984375" customWidth="1"/>
    <col min="8753" max="8753" width="7.59765625" customWidth="1"/>
    <col min="8754" max="8754" width="5.3984375" bestFit="1" customWidth="1"/>
    <col min="8755" max="8755" width="7.59765625" customWidth="1"/>
    <col min="8756" max="8756" width="5.3984375" customWidth="1"/>
    <col min="8757" max="8757" width="7.59765625" customWidth="1"/>
    <col min="8758" max="8758" width="5.3984375" bestFit="1" customWidth="1"/>
    <col min="8759" max="8759" width="7.59765625" customWidth="1"/>
    <col min="8760" max="8760" width="5.3984375" customWidth="1"/>
    <col min="8761" max="8761" width="7.59765625" customWidth="1"/>
    <col min="8762" max="8762" width="5.3984375" bestFit="1" customWidth="1"/>
    <col min="8763" max="8763" width="7.59765625" customWidth="1"/>
    <col min="8764" max="8764" width="5.3984375" customWidth="1"/>
    <col min="8765" max="8765" width="7.59765625" customWidth="1"/>
    <col min="8766" max="8766" width="5.3984375" bestFit="1" customWidth="1"/>
    <col min="8767" max="8767" width="7.59765625" customWidth="1"/>
    <col min="8768" max="8768" width="5.3984375" customWidth="1"/>
    <col min="8769" max="8769" width="7.59765625" customWidth="1"/>
    <col min="8770" max="8770" width="5.3984375" bestFit="1" customWidth="1"/>
    <col min="8771" max="8771" width="7.59765625" customWidth="1"/>
    <col min="8772" max="8772" width="5.3984375" customWidth="1"/>
    <col min="8773" max="8773" width="7.59765625" customWidth="1"/>
    <col min="8774" max="8774" width="5.3984375" bestFit="1" customWidth="1"/>
    <col min="8776" max="8777" width="5.3984375" bestFit="1" customWidth="1"/>
    <col min="8778" max="8778" width="2.09765625" bestFit="1" customWidth="1"/>
    <col min="8929" max="8929" width="4.3984375" customWidth="1"/>
    <col min="8930" max="8930" width="30.5" customWidth="1"/>
    <col min="8933" max="8933" width="10.69921875" customWidth="1"/>
    <col min="8934" max="8934" width="5.19921875" customWidth="1"/>
    <col min="8935" max="8935" width="7.59765625" customWidth="1"/>
    <col min="8936" max="8936" width="5.3984375" customWidth="1"/>
    <col min="8937" max="8937" width="7.59765625" customWidth="1"/>
    <col min="8938" max="8938" width="6" bestFit="1" customWidth="1"/>
    <col min="8939" max="8939" width="7.59765625" customWidth="1"/>
    <col min="8940" max="8940" width="5.3984375" customWidth="1"/>
    <col min="8941" max="8941" width="7.59765625" customWidth="1"/>
    <col min="8942" max="8942" width="5.3984375" bestFit="1" customWidth="1"/>
    <col min="8943" max="8943" width="7.59765625" customWidth="1"/>
    <col min="8944" max="8944" width="5.3984375" customWidth="1"/>
    <col min="8945" max="8945" width="7.59765625" customWidth="1"/>
    <col min="8946" max="8946" width="5.3984375" bestFit="1" customWidth="1"/>
    <col min="8947" max="8947" width="7.59765625" customWidth="1"/>
    <col min="8948" max="8948" width="5.3984375" customWidth="1"/>
    <col min="8949" max="8949" width="7.59765625" customWidth="1"/>
    <col min="8950" max="8950" width="5.3984375" bestFit="1" customWidth="1"/>
    <col min="8951" max="8951" width="7.59765625" customWidth="1"/>
    <col min="8952" max="8952" width="5.3984375" customWidth="1"/>
    <col min="8953" max="8953" width="7.59765625" customWidth="1"/>
    <col min="8954" max="8954" width="5.3984375" bestFit="1" customWidth="1"/>
    <col min="8955" max="8955" width="7.59765625" customWidth="1"/>
    <col min="8956" max="8956" width="5.3984375" customWidth="1"/>
    <col min="8957" max="8957" width="7.59765625" customWidth="1"/>
    <col min="8958" max="8958" width="5.3984375" bestFit="1" customWidth="1"/>
    <col min="8959" max="8959" width="7.59765625" customWidth="1"/>
    <col min="8960" max="8960" width="5.3984375" customWidth="1"/>
    <col min="8961" max="8961" width="7.59765625" customWidth="1"/>
    <col min="8962" max="8962" width="5.3984375" bestFit="1" customWidth="1"/>
    <col min="8963" max="8963" width="7.59765625" customWidth="1"/>
    <col min="8964" max="8964" width="5.3984375" customWidth="1"/>
    <col min="8965" max="8965" width="7.59765625" customWidth="1"/>
    <col min="8966" max="8966" width="5.3984375" bestFit="1" customWidth="1"/>
    <col min="8967" max="8967" width="7.59765625" customWidth="1"/>
    <col min="8968" max="8968" width="5.3984375" customWidth="1"/>
    <col min="8969" max="8969" width="7.59765625" customWidth="1"/>
    <col min="8970" max="8970" width="5.3984375" bestFit="1" customWidth="1"/>
    <col min="8971" max="8971" width="7.59765625" customWidth="1"/>
    <col min="8972" max="8972" width="5.3984375" customWidth="1"/>
    <col min="8973" max="8973" width="7.59765625" customWidth="1"/>
    <col min="8974" max="8974" width="5.3984375" bestFit="1" customWidth="1"/>
    <col min="8975" max="8975" width="7.59765625" customWidth="1"/>
    <col min="8976" max="8976" width="5.3984375" customWidth="1"/>
    <col min="8977" max="8977" width="7.59765625" customWidth="1"/>
    <col min="8978" max="8978" width="5.3984375" bestFit="1" customWidth="1"/>
    <col min="8979" max="8979" width="7.59765625" customWidth="1"/>
    <col min="8980" max="8980" width="5.3984375" customWidth="1"/>
    <col min="8981" max="8981" width="7.59765625" customWidth="1"/>
    <col min="8982" max="8982" width="5.3984375" bestFit="1" customWidth="1"/>
    <col min="8983" max="8983" width="7.59765625" customWidth="1"/>
    <col min="8984" max="8984" width="5.3984375" customWidth="1"/>
    <col min="8985" max="8985" width="7.59765625" customWidth="1"/>
    <col min="8986" max="8986" width="5.3984375" bestFit="1" customWidth="1"/>
    <col min="8987" max="8987" width="7.59765625" customWidth="1"/>
    <col min="8988" max="8988" width="5.3984375" customWidth="1"/>
    <col min="8989" max="8989" width="7.59765625" customWidth="1"/>
    <col min="8990" max="8990" width="5.3984375" bestFit="1" customWidth="1"/>
    <col min="8991" max="8991" width="7.59765625" customWidth="1"/>
    <col min="8992" max="8992" width="5.3984375" customWidth="1"/>
    <col min="8993" max="8993" width="7.59765625" customWidth="1"/>
    <col min="8994" max="8994" width="5.3984375" bestFit="1" customWidth="1"/>
    <col min="8995" max="8995" width="7.59765625" customWidth="1"/>
    <col min="8996" max="8996" width="5.3984375" customWidth="1"/>
    <col min="8997" max="8997" width="7.59765625" customWidth="1"/>
    <col min="8998" max="8998" width="5.3984375" bestFit="1" customWidth="1"/>
    <col min="8999" max="8999" width="7.59765625" customWidth="1"/>
    <col min="9000" max="9000" width="5.3984375" customWidth="1"/>
    <col min="9001" max="9001" width="7.59765625" customWidth="1"/>
    <col min="9002" max="9002" width="5.3984375" bestFit="1" customWidth="1"/>
    <col min="9003" max="9003" width="7.59765625" customWidth="1"/>
    <col min="9004" max="9004" width="5.3984375" customWidth="1"/>
    <col min="9005" max="9005" width="7.59765625" customWidth="1"/>
    <col min="9006" max="9006" width="5.3984375" bestFit="1" customWidth="1"/>
    <col min="9007" max="9007" width="7.59765625" customWidth="1"/>
    <col min="9008" max="9008" width="5.3984375" customWidth="1"/>
    <col min="9009" max="9009" width="7.59765625" customWidth="1"/>
    <col min="9010" max="9010" width="5.3984375" bestFit="1" customWidth="1"/>
    <col min="9011" max="9011" width="7.59765625" customWidth="1"/>
    <col min="9012" max="9012" width="5.3984375" customWidth="1"/>
    <col min="9013" max="9013" width="7.59765625" customWidth="1"/>
    <col min="9014" max="9014" width="5.3984375" bestFit="1" customWidth="1"/>
    <col min="9015" max="9015" width="7.59765625" customWidth="1"/>
    <col min="9016" max="9016" width="5.3984375" customWidth="1"/>
    <col min="9017" max="9017" width="7.59765625" customWidth="1"/>
    <col min="9018" max="9018" width="5.3984375" bestFit="1" customWidth="1"/>
    <col min="9019" max="9019" width="7.59765625" customWidth="1"/>
    <col min="9020" max="9020" width="5.3984375" customWidth="1"/>
    <col min="9021" max="9021" width="7.59765625" customWidth="1"/>
    <col min="9022" max="9022" width="5.3984375" bestFit="1" customWidth="1"/>
    <col min="9023" max="9023" width="7.59765625" customWidth="1"/>
    <col min="9024" max="9024" width="5.3984375" customWidth="1"/>
    <col min="9025" max="9025" width="7.59765625" customWidth="1"/>
    <col min="9026" max="9026" width="5.3984375" bestFit="1" customWidth="1"/>
    <col min="9027" max="9027" width="7.59765625" customWidth="1"/>
    <col min="9028" max="9028" width="5.3984375" customWidth="1"/>
    <col min="9029" max="9029" width="7.59765625" customWidth="1"/>
    <col min="9030" max="9030" width="5.3984375" bestFit="1" customWidth="1"/>
    <col min="9032" max="9033" width="5.3984375" bestFit="1" customWidth="1"/>
    <col min="9034" max="9034" width="2.09765625" bestFit="1" customWidth="1"/>
    <col min="9185" max="9185" width="4.3984375" customWidth="1"/>
    <col min="9186" max="9186" width="30.5" customWidth="1"/>
    <col min="9189" max="9189" width="10.69921875" customWidth="1"/>
    <col min="9190" max="9190" width="5.19921875" customWidth="1"/>
    <col min="9191" max="9191" width="7.59765625" customWidth="1"/>
    <col min="9192" max="9192" width="5.3984375" customWidth="1"/>
    <col min="9193" max="9193" width="7.59765625" customWidth="1"/>
    <col min="9194" max="9194" width="6" bestFit="1" customWidth="1"/>
    <col min="9195" max="9195" width="7.59765625" customWidth="1"/>
    <col min="9196" max="9196" width="5.3984375" customWidth="1"/>
    <col min="9197" max="9197" width="7.59765625" customWidth="1"/>
    <col min="9198" max="9198" width="5.3984375" bestFit="1" customWidth="1"/>
    <col min="9199" max="9199" width="7.59765625" customWidth="1"/>
    <col min="9200" max="9200" width="5.3984375" customWidth="1"/>
    <col min="9201" max="9201" width="7.59765625" customWidth="1"/>
    <col min="9202" max="9202" width="5.3984375" bestFit="1" customWidth="1"/>
    <col min="9203" max="9203" width="7.59765625" customWidth="1"/>
    <col min="9204" max="9204" width="5.3984375" customWidth="1"/>
    <col min="9205" max="9205" width="7.59765625" customWidth="1"/>
    <col min="9206" max="9206" width="5.3984375" bestFit="1" customWidth="1"/>
    <col min="9207" max="9207" width="7.59765625" customWidth="1"/>
    <col min="9208" max="9208" width="5.3984375" customWidth="1"/>
    <col min="9209" max="9209" width="7.59765625" customWidth="1"/>
    <col min="9210" max="9210" width="5.3984375" bestFit="1" customWidth="1"/>
    <col min="9211" max="9211" width="7.59765625" customWidth="1"/>
    <col min="9212" max="9212" width="5.3984375" customWidth="1"/>
    <col min="9213" max="9213" width="7.59765625" customWidth="1"/>
    <col min="9214" max="9214" width="5.3984375" bestFit="1" customWidth="1"/>
    <col min="9215" max="9215" width="7.59765625" customWidth="1"/>
    <col min="9216" max="9216" width="5.3984375" customWidth="1"/>
    <col min="9217" max="9217" width="7.59765625" customWidth="1"/>
    <col min="9218" max="9218" width="5.3984375" bestFit="1" customWidth="1"/>
    <col min="9219" max="9219" width="7.59765625" customWidth="1"/>
    <col min="9220" max="9220" width="5.3984375" customWidth="1"/>
    <col min="9221" max="9221" width="7.59765625" customWidth="1"/>
    <col min="9222" max="9222" width="5.3984375" bestFit="1" customWidth="1"/>
    <col min="9223" max="9223" width="7.59765625" customWidth="1"/>
    <col min="9224" max="9224" width="5.3984375" customWidth="1"/>
    <col min="9225" max="9225" width="7.59765625" customWidth="1"/>
    <col min="9226" max="9226" width="5.3984375" bestFit="1" customWidth="1"/>
    <col min="9227" max="9227" width="7.59765625" customWidth="1"/>
    <col min="9228" max="9228" width="5.3984375" customWidth="1"/>
    <col min="9229" max="9229" width="7.59765625" customWidth="1"/>
    <col min="9230" max="9230" width="5.3984375" bestFit="1" customWidth="1"/>
    <col min="9231" max="9231" width="7.59765625" customWidth="1"/>
    <col min="9232" max="9232" width="5.3984375" customWidth="1"/>
    <col min="9233" max="9233" width="7.59765625" customWidth="1"/>
    <col min="9234" max="9234" width="5.3984375" bestFit="1" customWidth="1"/>
    <col min="9235" max="9235" width="7.59765625" customWidth="1"/>
    <col min="9236" max="9236" width="5.3984375" customWidth="1"/>
    <col min="9237" max="9237" width="7.59765625" customWidth="1"/>
    <col min="9238" max="9238" width="5.3984375" bestFit="1" customWidth="1"/>
    <col min="9239" max="9239" width="7.59765625" customWidth="1"/>
    <col min="9240" max="9240" width="5.3984375" customWidth="1"/>
    <col min="9241" max="9241" width="7.59765625" customWidth="1"/>
    <col min="9242" max="9242" width="5.3984375" bestFit="1" customWidth="1"/>
    <col min="9243" max="9243" width="7.59765625" customWidth="1"/>
    <col min="9244" max="9244" width="5.3984375" customWidth="1"/>
    <col min="9245" max="9245" width="7.59765625" customWidth="1"/>
    <col min="9246" max="9246" width="5.3984375" bestFit="1" customWidth="1"/>
    <col min="9247" max="9247" width="7.59765625" customWidth="1"/>
    <col min="9248" max="9248" width="5.3984375" customWidth="1"/>
    <col min="9249" max="9249" width="7.59765625" customWidth="1"/>
    <col min="9250" max="9250" width="5.3984375" bestFit="1" customWidth="1"/>
    <col min="9251" max="9251" width="7.59765625" customWidth="1"/>
    <col min="9252" max="9252" width="5.3984375" customWidth="1"/>
    <col min="9253" max="9253" width="7.59765625" customWidth="1"/>
    <col min="9254" max="9254" width="5.3984375" bestFit="1" customWidth="1"/>
    <col min="9255" max="9255" width="7.59765625" customWidth="1"/>
    <col min="9256" max="9256" width="5.3984375" customWidth="1"/>
    <col min="9257" max="9257" width="7.59765625" customWidth="1"/>
    <col min="9258" max="9258" width="5.3984375" bestFit="1" customWidth="1"/>
    <col min="9259" max="9259" width="7.59765625" customWidth="1"/>
    <col min="9260" max="9260" width="5.3984375" customWidth="1"/>
    <col min="9261" max="9261" width="7.59765625" customWidth="1"/>
    <col min="9262" max="9262" width="5.3984375" bestFit="1" customWidth="1"/>
    <col min="9263" max="9263" width="7.59765625" customWidth="1"/>
    <col min="9264" max="9264" width="5.3984375" customWidth="1"/>
    <col min="9265" max="9265" width="7.59765625" customWidth="1"/>
    <col min="9266" max="9266" width="5.3984375" bestFit="1" customWidth="1"/>
    <col min="9267" max="9267" width="7.59765625" customWidth="1"/>
    <col min="9268" max="9268" width="5.3984375" customWidth="1"/>
    <col min="9269" max="9269" width="7.59765625" customWidth="1"/>
    <col min="9270" max="9270" width="5.3984375" bestFit="1" customWidth="1"/>
    <col min="9271" max="9271" width="7.59765625" customWidth="1"/>
    <col min="9272" max="9272" width="5.3984375" customWidth="1"/>
    <col min="9273" max="9273" width="7.59765625" customWidth="1"/>
    <col min="9274" max="9274" width="5.3984375" bestFit="1" customWidth="1"/>
    <col min="9275" max="9275" width="7.59765625" customWidth="1"/>
    <col min="9276" max="9276" width="5.3984375" customWidth="1"/>
    <col min="9277" max="9277" width="7.59765625" customWidth="1"/>
    <col min="9278" max="9278" width="5.3984375" bestFit="1" customWidth="1"/>
    <col min="9279" max="9279" width="7.59765625" customWidth="1"/>
    <col min="9280" max="9280" width="5.3984375" customWidth="1"/>
    <col min="9281" max="9281" width="7.59765625" customWidth="1"/>
    <col min="9282" max="9282" width="5.3984375" bestFit="1" customWidth="1"/>
    <col min="9283" max="9283" width="7.59765625" customWidth="1"/>
    <col min="9284" max="9284" width="5.3984375" customWidth="1"/>
    <col min="9285" max="9285" width="7.59765625" customWidth="1"/>
    <col min="9286" max="9286" width="5.3984375" bestFit="1" customWidth="1"/>
    <col min="9288" max="9289" width="5.3984375" bestFit="1" customWidth="1"/>
    <col min="9290" max="9290" width="2.09765625" bestFit="1" customWidth="1"/>
    <col min="9441" max="9441" width="4.3984375" customWidth="1"/>
    <col min="9442" max="9442" width="30.5" customWidth="1"/>
    <col min="9445" max="9445" width="10.69921875" customWidth="1"/>
    <col min="9446" max="9446" width="5.19921875" customWidth="1"/>
    <col min="9447" max="9447" width="7.59765625" customWidth="1"/>
    <col min="9448" max="9448" width="5.3984375" customWidth="1"/>
    <col min="9449" max="9449" width="7.59765625" customWidth="1"/>
    <col min="9450" max="9450" width="6" bestFit="1" customWidth="1"/>
    <col min="9451" max="9451" width="7.59765625" customWidth="1"/>
    <col min="9452" max="9452" width="5.3984375" customWidth="1"/>
    <col min="9453" max="9453" width="7.59765625" customWidth="1"/>
    <col min="9454" max="9454" width="5.3984375" bestFit="1" customWidth="1"/>
    <col min="9455" max="9455" width="7.59765625" customWidth="1"/>
    <col min="9456" max="9456" width="5.3984375" customWidth="1"/>
    <col min="9457" max="9457" width="7.59765625" customWidth="1"/>
    <col min="9458" max="9458" width="5.3984375" bestFit="1" customWidth="1"/>
    <col min="9459" max="9459" width="7.59765625" customWidth="1"/>
    <col min="9460" max="9460" width="5.3984375" customWidth="1"/>
    <col min="9461" max="9461" width="7.59765625" customWidth="1"/>
    <col min="9462" max="9462" width="5.3984375" bestFit="1" customWidth="1"/>
    <col min="9463" max="9463" width="7.59765625" customWidth="1"/>
    <col min="9464" max="9464" width="5.3984375" customWidth="1"/>
    <col min="9465" max="9465" width="7.59765625" customWidth="1"/>
    <col min="9466" max="9466" width="5.3984375" bestFit="1" customWidth="1"/>
    <col min="9467" max="9467" width="7.59765625" customWidth="1"/>
    <col min="9468" max="9468" width="5.3984375" customWidth="1"/>
    <col min="9469" max="9469" width="7.59765625" customWidth="1"/>
    <col min="9470" max="9470" width="5.3984375" bestFit="1" customWidth="1"/>
    <col min="9471" max="9471" width="7.59765625" customWidth="1"/>
    <col min="9472" max="9472" width="5.3984375" customWidth="1"/>
    <col min="9473" max="9473" width="7.59765625" customWidth="1"/>
    <col min="9474" max="9474" width="5.3984375" bestFit="1" customWidth="1"/>
    <col min="9475" max="9475" width="7.59765625" customWidth="1"/>
    <col min="9476" max="9476" width="5.3984375" customWidth="1"/>
    <col min="9477" max="9477" width="7.59765625" customWidth="1"/>
    <col min="9478" max="9478" width="5.3984375" bestFit="1" customWidth="1"/>
    <col min="9479" max="9479" width="7.59765625" customWidth="1"/>
    <col min="9480" max="9480" width="5.3984375" customWidth="1"/>
    <col min="9481" max="9481" width="7.59765625" customWidth="1"/>
    <col min="9482" max="9482" width="5.3984375" bestFit="1" customWidth="1"/>
    <col min="9483" max="9483" width="7.59765625" customWidth="1"/>
    <col min="9484" max="9484" width="5.3984375" customWidth="1"/>
    <col min="9485" max="9485" width="7.59765625" customWidth="1"/>
    <col min="9486" max="9486" width="5.3984375" bestFit="1" customWidth="1"/>
    <col min="9487" max="9487" width="7.59765625" customWidth="1"/>
    <col min="9488" max="9488" width="5.3984375" customWidth="1"/>
    <col min="9489" max="9489" width="7.59765625" customWidth="1"/>
    <col min="9490" max="9490" width="5.3984375" bestFit="1" customWidth="1"/>
    <col min="9491" max="9491" width="7.59765625" customWidth="1"/>
    <col min="9492" max="9492" width="5.3984375" customWidth="1"/>
    <col min="9493" max="9493" width="7.59765625" customWidth="1"/>
    <col min="9494" max="9494" width="5.3984375" bestFit="1" customWidth="1"/>
    <col min="9495" max="9495" width="7.59765625" customWidth="1"/>
    <col min="9496" max="9496" width="5.3984375" customWidth="1"/>
    <col min="9497" max="9497" width="7.59765625" customWidth="1"/>
    <col min="9498" max="9498" width="5.3984375" bestFit="1" customWidth="1"/>
    <col min="9499" max="9499" width="7.59765625" customWidth="1"/>
    <col min="9500" max="9500" width="5.3984375" customWidth="1"/>
    <col min="9501" max="9501" width="7.59765625" customWidth="1"/>
    <col min="9502" max="9502" width="5.3984375" bestFit="1" customWidth="1"/>
    <col min="9503" max="9503" width="7.59765625" customWidth="1"/>
    <col min="9504" max="9504" width="5.3984375" customWidth="1"/>
    <col min="9505" max="9505" width="7.59765625" customWidth="1"/>
    <col min="9506" max="9506" width="5.3984375" bestFit="1" customWidth="1"/>
    <col min="9507" max="9507" width="7.59765625" customWidth="1"/>
    <col min="9508" max="9508" width="5.3984375" customWidth="1"/>
    <col min="9509" max="9509" width="7.59765625" customWidth="1"/>
    <col min="9510" max="9510" width="5.3984375" bestFit="1" customWidth="1"/>
    <col min="9511" max="9511" width="7.59765625" customWidth="1"/>
    <col min="9512" max="9512" width="5.3984375" customWidth="1"/>
    <col min="9513" max="9513" width="7.59765625" customWidth="1"/>
    <col min="9514" max="9514" width="5.3984375" bestFit="1" customWidth="1"/>
    <col min="9515" max="9515" width="7.59765625" customWidth="1"/>
    <col min="9516" max="9516" width="5.3984375" customWidth="1"/>
    <col min="9517" max="9517" width="7.59765625" customWidth="1"/>
    <col min="9518" max="9518" width="5.3984375" bestFit="1" customWidth="1"/>
    <col min="9519" max="9519" width="7.59765625" customWidth="1"/>
    <col min="9520" max="9520" width="5.3984375" customWidth="1"/>
    <col min="9521" max="9521" width="7.59765625" customWidth="1"/>
    <col min="9522" max="9522" width="5.3984375" bestFit="1" customWidth="1"/>
    <col min="9523" max="9523" width="7.59765625" customWidth="1"/>
    <col min="9524" max="9524" width="5.3984375" customWidth="1"/>
    <col min="9525" max="9525" width="7.59765625" customWidth="1"/>
    <col min="9526" max="9526" width="5.3984375" bestFit="1" customWidth="1"/>
    <col min="9527" max="9527" width="7.59765625" customWidth="1"/>
    <col min="9528" max="9528" width="5.3984375" customWidth="1"/>
    <col min="9529" max="9529" width="7.59765625" customWidth="1"/>
    <col min="9530" max="9530" width="5.3984375" bestFit="1" customWidth="1"/>
    <col min="9531" max="9531" width="7.59765625" customWidth="1"/>
    <col min="9532" max="9532" width="5.3984375" customWidth="1"/>
    <col min="9533" max="9533" width="7.59765625" customWidth="1"/>
    <col min="9534" max="9534" width="5.3984375" bestFit="1" customWidth="1"/>
    <col min="9535" max="9535" width="7.59765625" customWidth="1"/>
    <col min="9536" max="9536" width="5.3984375" customWidth="1"/>
    <col min="9537" max="9537" width="7.59765625" customWidth="1"/>
    <col min="9538" max="9538" width="5.3984375" bestFit="1" customWidth="1"/>
    <col min="9539" max="9539" width="7.59765625" customWidth="1"/>
    <col min="9540" max="9540" width="5.3984375" customWidth="1"/>
    <col min="9541" max="9541" width="7.59765625" customWidth="1"/>
    <col min="9542" max="9542" width="5.3984375" bestFit="1" customWidth="1"/>
    <col min="9544" max="9545" width="5.3984375" bestFit="1" customWidth="1"/>
    <col min="9546" max="9546" width="2.09765625" bestFit="1" customWidth="1"/>
    <col min="9697" max="9697" width="4.3984375" customWidth="1"/>
    <col min="9698" max="9698" width="30.5" customWidth="1"/>
    <col min="9701" max="9701" width="10.69921875" customWidth="1"/>
    <col min="9702" max="9702" width="5.19921875" customWidth="1"/>
    <col min="9703" max="9703" width="7.59765625" customWidth="1"/>
    <col min="9704" max="9704" width="5.3984375" customWidth="1"/>
    <col min="9705" max="9705" width="7.59765625" customWidth="1"/>
    <col min="9706" max="9706" width="6" bestFit="1" customWidth="1"/>
    <col min="9707" max="9707" width="7.59765625" customWidth="1"/>
    <col min="9708" max="9708" width="5.3984375" customWidth="1"/>
    <col min="9709" max="9709" width="7.59765625" customWidth="1"/>
    <col min="9710" max="9710" width="5.3984375" bestFit="1" customWidth="1"/>
    <col min="9711" max="9711" width="7.59765625" customWidth="1"/>
    <col min="9712" max="9712" width="5.3984375" customWidth="1"/>
    <col min="9713" max="9713" width="7.59765625" customWidth="1"/>
    <col min="9714" max="9714" width="5.3984375" bestFit="1" customWidth="1"/>
    <col min="9715" max="9715" width="7.59765625" customWidth="1"/>
    <col min="9716" max="9716" width="5.3984375" customWidth="1"/>
    <col min="9717" max="9717" width="7.59765625" customWidth="1"/>
    <col min="9718" max="9718" width="5.3984375" bestFit="1" customWidth="1"/>
    <col min="9719" max="9719" width="7.59765625" customWidth="1"/>
    <col min="9720" max="9720" width="5.3984375" customWidth="1"/>
    <col min="9721" max="9721" width="7.59765625" customWidth="1"/>
    <col min="9722" max="9722" width="5.3984375" bestFit="1" customWidth="1"/>
    <col min="9723" max="9723" width="7.59765625" customWidth="1"/>
    <col min="9724" max="9724" width="5.3984375" customWidth="1"/>
    <col min="9725" max="9725" width="7.59765625" customWidth="1"/>
    <col min="9726" max="9726" width="5.3984375" bestFit="1" customWidth="1"/>
    <col min="9727" max="9727" width="7.59765625" customWidth="1"/>
    <col min="9728" max="9728" width="5.3984375" customWidth="1"/>
    <col min="9729" max="9729" width="7.59765625" customWidth="1"/>
    <col min="9730" max="9730" width="5.3984375" bestFit="1" customWidth="1"/>
    <col min="9731" max="9731" width="7.59765625" customWidth="1"/>
    <col min="9732" max="9732" width="5.3984375" customWidth="1"/>
    <col min="9733" max="9733" width="7.59765625" customWidth="1"/>
    <col min="9734" max="9734" width="5.3984375" bestFit="1" customWidth="1"/>
    <col min="9735" max="9735" width="7.59765625" customWidth="1"/>
    <col min="9736" max="9736" width="5.3984375" customWidth="1"/>
    <col min="9737" max="9737" width="7.59765625" customWidth="1"/>
    <col min="9738" max="9738" width="5.3984375" bestFit="1" customWidth="1"/>
    <col min="9739" max="9739" width="7.59765625" customWidth="1"/>
    <col min="9740" max="9740" width="5.3984375" customWidth="1"/>
    <col min="9741" max="9741" width="7.59765625" customWidth="1"/>
    <col min="9742" max="9742" width="5.3984375" bestFit="1" customWidth="1"/>
    <col min="9743" max="9743" width="7.59765625" customWidth="1"/>
    <col min="9744" max="9744" width="5.3984375" customWidth="1"/>
    <col min="9745" max="9745" width="7.59765625" customWidth="1"/>
    <col min="9746" max="9746" width="5.3984375" bestFit="1" customWidth="1"/>
    <col min="9747" max="9747" width="7.59765625" customWidth="1"/>
    <col min="9748" max="9748" width="5.3984375" customWidth="1"/>
    <col min="9749" max="9749" width="7.59765625" customWidth="1"/>
    <col min="9750" max="9750" width="5.3984375" bestFit="1" customWidth="1"/>
    <col min="9751" max="9751" width="7.59765625" customWidth="1"/>
    <col min="9752" max="9752" width="5.3984375" customWidth="1"/>
    <col min="9753" max="9753" width="7.59765625" customWidth="1"/>
    <col min="9754" max="9754" width="5.3984375" bestFit="1" customWidth="1"/>
    <col min="9755" max="9755" width="7.59765625" customWidth="1"/>
    <col min="9756" max="9756" width="5.3984375" customWidth="1"/>
    <col min="9757" max="9757" width="7.59765625" customWidth="1"/>
    <col min="9758" max="9758" width="5.3984375" bestFit="1" customWidth="1"/>
    <col min="9759" max="9759" width="7.59765625" customWidth="1"/>
    <col min="9760" max="9760" width="5.3984375" customWidth="1"/>
    <col min="9761" max="9761" width="7.59765625" customWidth="1"/>
    <col min="9762" max="9762" width="5.3984375" bestFit="1" customWidth="1"/>
    <col min="9763" max="9763" width="7.59765625" customWidth="1"/>
    <col min="9764" max="9764" width="5.3984375" customWidth="1"/>
    <col min="9765" max="9765" width="7.59765625" customWidth="1"/>
    <col min="9766" max="9766" width="5.3984375" bestFit="1" customWidth="1"/>
    <col min="9767" max="9767" width="7.59765625" customWidth="1"/>
    <col min="9768" max="9768" width="5.3984375" customWidth="1"/>
    <col min="9769" max="9769" width="7.59765625" customWidth="1"/>
    <col min="9770" max="9770" width="5.3984375" bestFit="1" customWidth="1"/>
    <col min="9771" max="9771" width="7.59765625" customWidth="1"/>
    <col min="9772" max="9772" width="5.3984375" customWidth="1"/>
    <col min="9773" max="9773" width="7.59765625" customWidth="1"/>
    <col min="9774" max="9774" width="5.3984375" bestFit="1" customWidth="1"/>
    <col min="9775" max="9775" width="7.59765625" customWidth="1"/>
    <col min="9776" max="9776" width="5.3984375" customWidth="1"/>
    <col min="9777" max="9777" width="7.59765625" customWidth="1"/>
    <col min="9778" max="9778" width="5.3984375" bestFit="1" customWidth="1"/>
    <col min="9779" max="9779" width="7.59765625" customWidth="1"/>
    <col min="9780" max="9780" width="5.3984375" customWidth="1"/>
    <col min="9781" max="9781" width="7.59765625" customWidth="1"/>
    <col min="9782" max="9782" width="5.3984375" bestFit="1" customWidth="1"/>
    <col min="9783" max="9783" width="7.59765625" customWidth="1"/>
    <col min="9784" max="9784" width="5.3984375" customWidth="1"/>
    <col min="9785" max="9785" width="7.59765625" customWidth="1"/>
    <col min="9786" max="9786" width="5.3984375" bestFit="1" customWidth="1"/>
    <col min="9787" max="9787" width="7.59765625" customWidth="1"/>
    <col min="9788" max="9788" width="5.3984375" customWidth="1"/>
    <col min="9789" max="9789" width="7.59765625" customWidth="1"/>
    <col min="9790" max="9790" width="5.3984375" bestFit="1" customWidth="1"/>
    <col min="9791" max="9791" width="7.59765625" customWidth="1"/>
    <col min="9792" max="9792" width="5.3984375" customWidth="1"/>
    <col min="9793" max="9793" width="7.59765625" customWidth="1"/>
    <col min="9794" max="9794" width="5.3984375" bestFit="1" customWidth="1"/>
    <col min="9795" max="9795" width="7.59765625" customWidth="1"/>
    <col min="9796" max="9796" width="5.3984375" customWidth="1"/>
    <col min="9797" max="9797" width="7.59765625" customWidth="1"/>
    <col min="9798" max="9798" width="5.3984375" bestFit="1" customWidth="1"/>
    <col min="9800" max="9801" width="5.3984375" bestFit="1" customWidth="1"/>
    <col min="9802" max="9802" width="2.09765625" bestFit="1" customWidth="1"/>
    <col min="9953" max="9953" width="4.3984375" customWidth="1"/>
    <col min="9954" max="9954" width="30.5" customWidth="1"/>
    <col min="9957" max="9957" width="10.69921875" customWidth="1"/>
    <col min="9958" max="9958" width="5.19921875" customWidth="1"/>
    <col min="9959" max="9959" width="7.59765625" customWidth="1"/>
    <col min="9960" max="9960" width="5.3984375" customWidth="1"/>
    <col min="9961" max="9961" width="7.59765625" customWidth="1"/>
    <col min="9962" max="9962" width="6" bestFit="1" customWidth="1"/>
    <col min="9963" max="9963" width="7.59765625" customWidth="1"/>
    <col min="9964" max="9964" width="5.3984375" customWidth="1"/>
    <col min="9965" max="9965" width="7.59765625" customWidth="1"/>
    <col min="9966" max="9966" width="5.3984375" bestFit="1" customWidth="1"/>
    <col min="9967" max="9967" width="7.59765625" customWidth="1"/>
    <col min="9968" max="9968" width="5.3984375" customWidth="1"/>
    <col min="9969" max="9969" width="7.59765625" customWidth="1"/>
    <col min="9970" max="9970" width="5.3984375" bestFit="1" customWidth="1"/>
    <col min="9971" max="9971" width="7.59765625" customWidth="1"/>
    <col min="9972" max="9972" width="5.3984375" customWidth="1"/>
    <col min="9973" max="9973" width="7.59765625" customWidth="1"/>
    <col min="9974" max="9974" width="5.3984375" bestFit="1" customWidth="1"/>
    <col min="9975" max="9975" width="7.59765625" customWidth="1"/>
    <col min="9976" max="9976" width="5.3984375" customWidth="1"/>
    <col min="9977" max="9977" width="7.59765625" customWidth="1"/>
    <col min="9978" max="9978" width="5.3984375" bestFit="1" customWidth="1"/>
    <col min="9979" max="9979" width="7.59765625" customWidth="1"/>
    <col min="9980" max="9980" width="5.3984375" customWidth="1"/>
    <col min="9981" max="9981" width="7.59765625" customWidth="1"/>
    <col min="9982" max="9982" width="5.3984375" bestFit="1" customWidth="1"/>
    <col min="9983" max="9983" width="7.59765625" customWidth="1"/>
    <col min="9984" max="9984" width="5.3984375" customWidth="1"/>
    <col min="9985" max="9985" width="7.59765625" customWidth="1"/>
    <col min="9986" max="9986" width="5.3984375" bestFit="1" customWidth="1"/>
    <col min="9987" max="9987" width="7.59765625" customWidth="1"/>
    <col min="9988" max="9988" width="5.3984375" customWidth="1"/>
    <col min="9989" max="9989" width="7.59765625" customWidth="1"/>
    <col min="9990" max="9990" width="5.3984375" bestFit="1" customWidth="1"/>
    <col min="9991" max="9991" width="7.59765625" customWidth="1"/>
    <col min="9992" max="9992" width="5.3984375" customWidth="1"/>
    <col min="9993" max="9993" width="7.59765625" customWidth="1"/>
    <col min="9994" max="9994" width="5.3984375" bestFit="1" customWidth="1"/>
    <col min="9995" max="9995" width="7.59765625" customWidth="1"/>
    <col min="9996" max="9996" width="5.3984375" customWidth="1"/>
    <col min="9997" max="9997" width="7.59765625" customWidth="1"/>
    <col min="9998" max="9998" width="5.3984375" bestFit="1" customWidth="1"/>
    <col min="9999" max="9999" width="7.59765625" customWidth="1"/>
    <col min="10000" max="10000" width="5.3984375" customWidth="1"/>
    <col min="10001" max="10001" width="7.59765625" customWidth="1"/>
    <col min="10002" max="10002" width="5.3984375" bestFit="1" customWidth="1"/>
    <col min="10003" max="10003" width="7.59765625" customWidth="1"/>
    <col min="10004" max="10004" width="5.3984375" customWidth="1"/>
    <col min="10005" max="10005" width="7.59765625" customWidth="1"/>
    <col min="10006" max="10006" width="5.3984375" bestFit="1" customWidth="1"/>
    <col min="10007" max="10007" width="7.59765625" customWidth="1"/>
    <col min="10008" max="10008" width="5.3984375" customWidth="1"/>
    <col min="10009" max="10009" width="7.59765625" customWidth="1"/>
    <col min="10010" max="10010" width="5.3984375" bestFit="1" customWidth="1"/>
    <col min="10011" max="10011" width="7.59765625" customWidth="1"/>
    <col min="10012" max="10012" width="5.3984375" customWidth="1"/>
    <col min="10013" max="10013" width="7.59765625" customWidth="1"/>
    <col min="10014" max="10014" width="5.3984375" bestFit="1" customWidth="1"/>
    <col min="10015" max="10015" width="7.59765625" customWidth="1"/>
    <col min="10016" max="10016" width="5.3984375" customWidth="1"/>
    <col min="10017" max="10017" width="7.59765625" customWidth="1"/>
    <col min="10018" max="10018" width="5.3984375" bestFit="1" customWidth="1"/>
    <col min="10019" max="10019" width="7.59765625" customWidth="1"/>
    <col min="10020" max="10020" width="5.3984375" customWidth="1"/>
    <col min="10021" max="10021" width="7.59765625" customWidth="1"/>
    <col min="10022" max="10022" width="5.3984375" bestFit="1" customWidth="1"/>
    <col min="10023" max="10023" width="7.59765625" customWidth="1"/>
    <col min="10024" max="10024" width="5.3984375" customWidth="1"/>
    <col min="10025" max="10025" width="7.59765625" customWidth="1"/>
    <col min="10026" max="10026" width="5.3984375" bestFit="1" customWidth="1"/>
    <col min="10027" max="10027" width="7.59765625" customWidth="1"/>
    <col min="10028" max="10028" width="5.3984375" customWidth="1"/>
    <col min="10029" max="10029" width="7.59765625" customWidth="1"/>
    <col min="10030" max="10030" width="5.3984375" bestFit="1" customWidth="1"/>
    <col min="10031" max="10031" width="7.59765625" customWidth="1"/>
    <col min="10032" max="10032" width="5.3984375" customWidth="1"/>
    <col min="10033" max="10033" width="7.59765625" customWidth="1"/>
    <col min="10034" max="10034" width="5.3984375" bestFit="1" customWidth="1"/>
    <col min="10035" max="10035" width="7.59765625" customWidth="1"/>
    <col min="10036" max="10036" width="5.3984375" customWidth="1"/>
    <col min="10037" max="10037" width="7.59765625" customWidth="1"/>
    <col min="10038" max="10038" width="5.3984375" bestFit="1" customWidth="1"/>
    <col min="10039" max="10039" width="7.59765625" customWidth="1"/>
    <col min="10040" max="10040" width="5.3984375" customWidth="1"/>
    <col min="10041" max="10041" width="7.59765625" customWidth="1"/>
    <col min="10042" max="10042" width="5.3984375" bestFit="1" customWidth="1"/>
    <col min="10043" max="10043" width="7.59765625" customWidth="1"/>
    <col min="10044" max="10044" width="5.3984375" customWidth="1"/>
    <col min="10045" max="10045" width="7.59765625" customWidth="1"/>
    <col min="10046" max="10046" width="5.3984375" bestFit="1" customWidth="1"/>
    <col min="10047" max="10047" width="7.59765625" customWidth="1"/>
    <col min="10048" max="10048" width="5.3984375" customWidth="1"/>
    <col min="10049" max="10049" width="7.59765625" customWidth="1"/>
    <col min="10050" max="10050" width="5.3984375" bestFit="1" customWidth="1"/>
    <col min="10051" max="10051" width="7.59765625" customWidth="1"/>
    <col min="10052" max="10052" width="5.3984375" customWidth="1"/>
    <col min="10053" max="10053" width="7.59765625" customWidth="1"/>
    <col min="10054" max="10054" width="5.3984375" bestFit="1" customWidth="1"/>
    <col min="10056" max="10057" width="5.3984375" bestFit="1" customWidth="1"/>
    <col min="10058" max="10058" width="2.09765625" bestFit="1" customWidth="1"/>
    <col min="10209" max="10209" width="4.3984375" customWidth="1"/>
    <col min="10210" max="10210" width="30.5" customWidth="1"/>
    <col min="10213" max="10213" width="10.69921875" customWidth="1"/>
    <col min="10214" max="10214" width="5.19921875" customWidth="1"/>
    <col min="10215" max="10215" width="7.59765625" customWidth="1"/>
    <col min="10216" max="10216" width="5.3984375" customWidth="1"/>
    <col min="10217" max="10217" width="7.59765625" customWidth="1"/>
    <col min="10218" max="10218" width="6" bestFit="1" customWidth="1"/>
    <col min="10219" max="10219" width="7.59765625" customWidth="1"/>
    <col min="10220" max="10220" width="5.3984375" customWidth="1"/>
    <col min="10221" max="10221" width="7.59765625" customWidth="1"/>
    <col min="10222" max="10222" width="5.3984375" bestFit="1" customWidth="1"/>
    <col min="10223" max="10223" width="7.59765625" customWidth="1"/>
    <col min="10224" max="10224" width="5.3984375" customWidth="1"/>
    <col min="10225" max="10225" width="7.59765625" customWidth="1"/>
    <col min="10226" max="10226" width="5.3984375" bestFit="1" customWidth="1"/>
    <col min="10227" max="10227" width="7.59765625" customWidth="1"/>
    <col min="10228" max="10228" width="5.3984375" customWidth="1"/>
    <col min="10229" max="10229" width="7.59765625" customWidth="1"/>
    <col min="10230" max="10230" width="5.3984375" bestFit="1" customWidth="1"/>
    <col min="10231" max="10231" width="7.59765625" customWidth="1"/>
    <col min="10232" max="10232" width="5.3984375" customWidth="1"/>
    <col min="10233" max="10233" width="7.59765625" customWidth="1"/>
    <col min="10234" max="10234" width="5.3984375" bestFit="1" customWidth="1"/>
    <col min="10235" max="10235" width="7.59765625" customWidth="1"/>
    <col min="10236" max="10236" width="5.3984375" customWidth="1"/>
    <col min="10237" max="10237" width="7.59765625" customWidth="1"/>
    <col min="10238" max="10238" width="5.3984375" bestFit="1" customWidth="1"/>
    <col min="10239" max="10239" width="7.59765625" customWidth="1"/>
    <col min="10240" max="10240" width="5.3984375" customWidth="1"/>
    <col min="10241" max="10241" width="7.59765625" customWidth="1"/>
    <col min="10242" max="10242" width="5.3984375" bestFit="1" customWidth="1"/>
    <col min="10243" max="10243" width="7.59765625" customWidth="1"/>
    <col min="10244" max="10244" width="5.3984375" customWidth="1"/>
    <col min="10245" max="10245" width="7.59765625" customWidth="1"/>
    <col min="10246" max="10246" width="5.3984375" bestFit="1" customWidth="1"/>
    <col min="10247" max="10247" width="7.59765625" customWidth="1"/>
    <col min="10248" max="10248" width="5.3984375" customWidth="1"/>
    <col min="10249" max="10249" width="7.59765625" customWidth="1"/>
    <col min="10250" max="10250" width="5.3984375" bestFit="1" customWidth="1"/>
    <col min="10251" max="10251" width="7.59765625" customWidth="1"/>
    <col min="10252" max="10252" width="5.3984375" customWidth="1"/>
    <col min="10253" max="10253" width="7.59765625" customWidth="1"/>
    <col min="10254" max="10254" width="5.3984375" bestFit="1" customWidth="1"/>
    <col min="10255" max="10255" width="7.59765625" customWidth="1"/>
    <col min="10256" max="10256" width="5.3984375" customWidth="1"/>
    <col min="10257" max="10257" width="7.59765625" customWidth="1"/>
    <col min="10258" max="10258" width="5.3984375" bestFit="1" customWidth="1"/>
    <col min="10259" max="10259" width="7.59765625" customWidth="1"/>
    <col min="10260" max="10260" width="5.3984375" customWidth="1"/>
    <col min="10261" max="10261" width="7.59765625" customWidth="1"/>
    <col min="10262" max="10262" width="5.3984375" bestFit="1" customWidth="1"/>
    <col min="10263" max="10263" width="7.59765625" customWidth="1"/>
    <col min="10264" max="10264" width="5.3984375" customWidth="1"/>
    <col min="10265" max="10265" width="7.59765625" customWidth="1"/>
    <col min="10266" max="10266" width="5.3984375" bestFit="1" customWidth="1"/>
    <col min="10267" max="10267" width="7.59765625" customWidth="1"/>
    <col min="10268" max="10268" width="5.3984375" customWidth="1"/>
    <col min="10269" max="10269" width="7.59765625" customWidth="1"/>
    <col min="10270" max="10270" width="5.3984375" bestFit="1" customWidth="1"/>
    <col min="10271" max="10271" width="7.59765625" customWidth="1"/>
    <col min="10272" max="10272" width="5.3984375" customWidth="1"/>
    <col min="10273" max="10273" width="7.59765625" customWidth="1"/>
    <col min="10274" max="10274" width="5.3984375" bestFit="1" customWidth="1"/>
    <col min="10275" max="10275" width="7.59765625" customWidth="1"/>
    <col min="10276" max="10276" width="5.3984375" customWidth="1"/>
    <col min="10277" max="10277" width="7.59765625" customWidth="1"/>
    <col min="10278" max="10278" width="5.3984375" bestFit="1" customWidth="1"/>
    <col min="10279" max="10279" width="7.59765625" customWidth="1"/>
    <col min="10280" max="10280" width="5.3984375" customWidth="1"/>
    <col min="10281" max="10281" width="7.59765625" customWidth="1"/>
    <col min="10282" max="10282" width="5.3984375" bestFit="1" customWidth="1"/>
    <col min="10283" max="10283" width="7.59765625" customWidth="1"/>
    <col min="10284" max="10284" width="5.3984375" customWidth="1"/>
    <col min="10285" max="10285" width="7.59765625" customWidth="1"/>
    <col min="10286" max="10286" width="5.3984375" bestFit="1" customWidth="1"/>
    <col min="10287" max="10287" width="7.59765625" customWidth="1"/>
    <col min="10288" max="10288" width="5.3984375" customWidth="1"/>
    <col min="10289" max="10289" width="7.59765625" customWidth="1"/>
    <col min="10290" max="10290" width="5.3984375" bestFit="1" customWidth="1"/>
    <col min="10291" max="10291" width="7.59765625" customWidth="1"/>
    <col min="10292" max="10292" width="5.3984375" customWidth="1"/>
    <col min="10293" max="10293" width="7.59765625" customWidth="1"/>
    <col min="10294" max="10294" width="5.3984375" bestFit="1" customWidth="1"/>
    <col min="10295" max="10295" width="7.59765625" customWidth="1"/>
    <col min="10296" max="10296" width="5.3984375" customWidth="1"/>
    <col min="10297" max="10297" width="7.59765625" customWidth="1"/>
    <col min="10298" max="10298" width="5.3984375" bestFit="1" customWidth="1"/>
    <col min="10299" max="10299" width="7.59765625" customWidth="1"/>
    <col min="10300" max="10300" width="5.3984375" customWidth="1"/>
    <col min="10301" max="10301" width="7.59765625" customWidth="1"/>
    <col min="10302" max="10302" width="5.3984375" bestFit="1" customWidth="1"/>
    <col min="10303" max="10303" width="7.59765625" customWidth="1"/>
    <col min="10304" max="10304" width="5.3984375" customWidth="1"/>
    <col min="10305" max="10305" width="7.59765625" customWidth="1"/>
    <col min="10306" max="10306" width="5.3984375" bestFit="1" customWidth="1"/>
    <col min="10307" max="10307" width="7.59765625" customWidth="1"/>
    <col min="10308" max="10308" width="5.3984375" customWidth="1"/>
    <col min="10309" max="10309" width="7.59765625" customWidth="1"/>
    <col min="10310" max="10310" width="5.3984375" bestFit="1" customWidth="1"/>
    <col min="10312" max="10313" width="5.3984375" bestFit="1" customWidth="1"/>
    <col min="10314" max="10314" width="2.09765625" bestFit="1" customWidth="1"/>
    <col min="10465" max="10465" width="4.3984375" customWidth="1"/>
    <col min="10466" max="10466" width="30.5" customWidth="1"/>
    <col min="10469" max="10469" width="10.69921875" customWidth="1"/>
    <col min="10470" max="10470" width="5.19921875" customWidth="1"/>
    <col min="10471" max="10471" width="7.59765625" customWidth="1"/>
    <col min="10472" max="10472" width="5.3984375" customWidth="1"/>
    <col min="10473" max="10473" width="7.59765625" customWidth="1"/>
    <col min="10474" max="10474" width="6" bestFit="1" customWidth="1"/>
    <col min="10475" max="10475" width="7.59765625" customWidth="1"/>
    <col min="10476" max="10476" width="5.3984375" customWidth="1"/>
    <col min="10477" max="10477" width="7.59765625" customWidth="1"/>
    <col min="10478" max="10478" width="5.3984375" bestFit="1" customWidth="1"/>
    <col min="10479" max="10479" width="7.59765625" customWidth="1"/>
    <col min="10480" max="10480" width="5.3984375" customWidth="1"/>
    <col min="10481" max="10481" width="7.59765625" customWidth="1"/>
    <col min="10482" max="10482" width="5.3984375" bestFit="1" customWidth="1"/>
    <col min="10483" max="10483" width="7.59765625" customWidth="1"/>
    <col min="10484" max="10484" width="5.3984375" customWidth="1"/>
    <col min="10485" max="10485" width="7.59765625" customWidth="1"/>
    <col min="10486" max="10486" width="5.3984375" bestFit="1" customWidth="1"/>
    <col min="10487" max="10487" width="7.59765625" customWidth="1"/>
    <col min="10488" max="10488" width="5.3984375" customWidth="1"/>
    <col min="10489" max="10489" width="7.59765625" customWidth="1"/>
    <col min="10490" max="10490" width="5.3984375" bestFit="1" customWidth="1"/>
    <col min="10491" max="10491" width="7.59765625" customWidth="1"/>
    <col min="10492" max="10492" width="5.3984375" customWidth="1"/>
    <col min="10493" max="10493" width="7.59765625" customWidth="1"/>
    <col min="10494" max="10494" width="5.3984375" bestFit="1" customWidth="1"/>
    <col min="10495" max="10495" width="7.59765625" customWidth="1"/>
    <col min="10496" max="10496" width="5.3984375" customWidth="1"/>
    <col min="10497" max="10497" width="7.59765625" customWidth="1"/>
    <col min="10498" max="10498" width="5.3984375" bestFit="1" customWidth="1"/>
    <col min="10499" max="10499" width="7.59765625" customWidth="1"/>
    <col min="10500" max="10500" width="5.3984375" customWidth="1"/>
    <col min="10501" max="10501" width="7.59765625" customWidth="1"/>
    <col min="10502" max="10502" width="5.3984375" bestFit="1" customWidth="1"/>
    <col min="10503" max="10503" width="7.59765625" customWidth="1"/>
    <col min="10504" max="10504" width="5.3984375" customWidth="1"/>
    <col min="10505" max="10505" width="7.59765625" customWidth="1"/>
    <col min="10506" max="10506" width="5.3984375" bestFit="1" customWidth="1"/>
    <col min="10507" max="10507" width="7.59765625" customWidth="1"/>
    <col min="10508" max="10508" width="5.3984375" customWidth="1"/>
    <col min="10509" max="10509" width="7.59765625" customWidth="1"/>
    <col min="10510" max="10510" width="5.3984375" bestFit="1" customWidth="1"/>
    <col min="10511" max="10511" width="7.59765625" customWidth="1"/>
    <col min="10512" max="10512" width="5.3984375" customWidth="1"/>
    <col min="10513" max="10513" width="7.59765625" customWidth="1"/>
    <col min="10514" max="10514" width="5.3984375" bestFit="1" customWidth="1"/>
    <col min="10515" max="10515" width="7.59765625" customWidth="1"/>
    <col min="10516" max="10516" width="5.3984375" customWidth="1"/>
    <col min="10517" max="10517" width="7.59765625" customWidth="1"/>
    <col min="10518" max="10518" width="5.3984375" bestFit="1" customWidth="1"/>
    <col min="10519" max="10519" width="7.59765625" customWidth="1"/>
    <col min="10520" max="10520" width="5.3984375" customWidth="1"/>
    <col min="10521" max="10521" width="7.59765625" customWidth="1"/>
    <col min="10522" max="10522" width="5.3984375" bestFit="1" customWidth="1"/>
    <col min="10523" max="10523" width="7.59765625" customWidth="1"/>
    <col min="10524" max="10524" width="5.3984375" customWidth="1"/>
    <col min="10525" max="10525" width="7.59765625" customWidth="1"/>
    <col min="10526" max="10526" width="5.3984375" bestFit="1" customWidth="1"/>
    <col min="10527" max="10527" width="7.59765625" customWidth="1"/>
    <col min="10528" max="10528" width="5.3984375" customWidth="1"/>
    <col min="10529" max="10529" width="7.59765625" customWidth="1"/>
    <col min="10530" max="10530" width="5.3984375" bestFit="1" customWidth="1"/>
    <col min="10531" max="10531" width="7.59765625" customWidth="1"/>
    <col min="10532" max="10532" width="5.3984375" customWidth="1"/>
    <col min="10533" max="10533" width="7.59765625" customWidth="1"/>
    <col min="10534" max="10534" width="5.3984375" bestFit="1" customWidth="1"/>
    <col min="10535" max="10535" width="7.59765625" customWidth="1"/>
    <col min="10536" max="10536" width="5.3984375" customWidth="1"/>
    <col min="10537" max="10537" width="7.59765625" customWidth="1"/>
    <col min="10538" max="10538" width="5.3984375" bestFit="1" customWidth="1"/>
    <col min="10539" max="10539" width="7.59765625" customWidth="1"/>
    <col min="10540" max="10540" width="5.3984375" customWidth="1"/>
    <col min="10541" max="10541" width="7.59765625" customWidth="1"/>
    <col min="10542" max="10542" width="5.3984375" bestFit="1" customWidth="1"/>
    <col min="10543" max="10543" width="7.59765625" customWidth="1"/>
    <col min="10544" max="10544" width="5.3984375" customWidth="1"/>
    <col min="10545" max="10545" width="7.59765625" customWidth="1"/>
    <col min="10546" max="10546" width="5.3984375" bestFit="1" customWidth="1"/>
    <col min="10547" max="10547" width="7.59765625" customWidth="1"/>
    <col min="10548" max="10548" width="5.3984375" customWidth="1"/>
    <col min="10549" max="10549" width="7.59765625" customWidth="1"/>
    <col min="10550" max="10550" width="5.3984375" bestFit="1" customWidth="1"/>
    <col min="10551" max="10551" width="7.59765625" customWidth="1"/>
    <col min="10552" max="10552" width="5.3984375" customWidth="1"/>
    <col min="10553" max="10553" width="7.59765625" customWidth="1"/>
    <col min="10554" max="10554" width="5.3984375" bestFit="1" customWidth="1"/>
    <col min="10555" max="10555" width="7.59765625" customWidth="1"/>
    <col min="10556" max="10556" width="5.3984375" customWidth="1"/>
    <col min="10557" max="10557" width="7.59765625" customWidth="1"/>
    <col min="10558" max="10558" width="5.3984375" bestFit="1" customWidth="1"/>
    <col min="10559" max="10559" width="7.59765625" customWidth="1"/>
    <col min="10560" max="10560" width="5.3984375" customWidth="1"/>
    <col min="10561" max="10561" width="7.59765625" customWidth="1"/>
    <col min="10562" max="10562" width="5.3984375" bestFit="1" customWidth="1"/>
    <col min="10563" max="10563" width="7.59765625" customWidth="1"/>
    <col min="10564" max="10564" width="5.3984375" customWidth="1"/>
    <col min="10565" max="10565" width="7.59765625" customWidth="1"/>
    <col min="10566" max="10566" width="5.3984375" bestFit="1" customWidth="1"/>
    <col min="10568" max="10569" width="5.3984375" bestFit="1" customWidth="1"/>
    <col min="10570" max="10570" width="2.09765625" bestFit="1" customWidth="1"/>
    <col min="10721" max="10721" width="4.3984375" customWidth="1"/>
    <col min="10722" max="10722" width="30.5" customWidth="1"/>
    <col min="10725" max="10725" width="10.69921875" customWidth="1"/>
    <col min="10726" max="10726" width="5.19921875" customWidth="1"/>
    <col min="10727" max="10727" width="7.59765625" customWidth="1"/>
    <col min="10728" max="10728" width="5.3984375" customWidth="1"/>
    <col min="10729" max="10729" width="7.59765625" customWidth="1"/>
    <col min="10730" max="10730" width="6" bestFit="1" customWidth="1"/>
    <col min="10731" max="10731" width="7.59765625" customWidth="1"/>
    <col min="10732" max="10732" width="5.3984375" customWidth="1"/>
    <col min="10733" max="10733" width="7.59765625" customWidth="1"/>
    <col min="10734" max="10734" width="5.3984375" bestFit="1" customWidth="1"/>
    <col min="10735" max="10735" width="7.59765625" customWidth="1"/>
    <col min="10736" max="10736" width="5.3984375" customWidth="1"/>
    <col min="10737" max="10737" width="7.59765625" customWidth="1"/>
    <col min="10738" max="10738" width="5.3984375" bestFit="1" customWidth="1"/>
    <col min="10739" max="10739" width="7.59765625" customWidth="1"/>
    <col min="10740" max="10740" width="5.3984375" customWidth="1"/>
    <col min="10741" max="10741" width="7.59765625" customWidth="1"/>
    <col min="10742" max="10742" width="5.3984375" bestFit="1" customWidth="1"/>
    <col min="10743" max="10743" width="7.59765625" customWidth="1"/>
    <col min="10744" max="10744" width="5.3984375" customWidth="1"/>
    <col min="10745" max="10745" width="7.59765625" customWidth="1"/>
    <col min="10746" max="10746" width="5.3984375" bestFit="1" customWidth="1"/>
    <col min="10747" max="10747" width="7.59765625" customWidth="1"/>
    <col min="10748" max="10748" width="5.3984375" customWidth="1"/>
    <col min="10749" max="10749" width="7.59765625" customWidth="1"/>
    <col min="10750" max="10750" width="5.3984375" bestFit="1" customWidth="1"/>
    <col min="10751" max="10751" width="7.59765625" customWidth="1"/>
    <col min="10752" max="10752" width="5.3984375" customWidth="1"/>
    <col min="10753" max="10753" width="7.59765625" customWidth="1"/>
    <col min="10754" max="10754" width="5.3984375" bestFit="1" customWidth="1"/>
    <col min="10755" max="10755" width="7.59765625" customWidth="1"/>
    <col min="10756" max="10756" width="5.3984375" customWidth="1"/>
    <col min="10757" max="10757" width="7.59765625" customWidth="1"/>
    <col min="10758" max="10758" width="5.3984375" bestFit="1" customWidth="1"/>
    <col min="10759" max="10759" width="7.59765625" customWidth="1"/>
    <col min="10760" max="10760" width="5.3984375" customWidth="1"/>
    <col min="10761" max="10761" width="7.59765625" customWidth="1"/>
    <col min="10762" max="10762" width="5.3984375" bestFit="1" customWidth="1"/>
    <col min="10763" max="10763" width="7.59765625" customWidth="1"/>
    <col min="10764" max="10764" width="5.3984375" customWidth="1"/>
    <col min="10765" max="10765" width="7.59765625" customWidth="1"/>
    <col min="10766" max="10766" width="5.3984375" bestFit="1" customWidth="1"/>
    <col min="10767" max="10767" width="7.59765625" customWidth="1"/>
    <col min="10768" max="10768" width="5.3984375" customWidth="1"/>
    <col min="10769" max="10769" width="7.59765625" customWidth="1"/>
    <col min="10770" max="10770" width="5.3984375" bestFit="1" customWidth="1"/>
    <col min="10771" max="10771" width="7.59765625" customWidth="1"/>
    <col min="10772" max="10772" width="5.3984375" customWidth="1"/>
    <col min="10773" max="10773" width="7.59765625" customWidth="1"/>
    <col min="10774" max="10774" width="5.3984375" bestFit="1" customWidth="1"/>
    <col min="10775" max="10775" width="7.59765625" customWidth="1"/>
    <col min="10776" max="10776" width="5.3984375" customWidth="1"/>
    <col min="10777" max="10777" width="7.59765625" customWidth="1"/>
    <col min="10778" max="10778" width="5.3984375" bestFit="1" customWidth="1"/>
    <col min="10779" max="10779" width="7.59765625" customWidth="1"/>
    <col min="10780" max="10780" width="5.3984375" customWidth="1"/>
    <col min="10781" max="10781" width="7.59765625" customWidth="1"/>
    <col min="10782" max="10782" width="5.3984375" bestFit="1" customWidth="1"/>
    <col min="10783" max="10783" width="7.59765625" customWidth="1"/>
    <col min="10784" max="10784" width="5.3984375" customWidth="1"/>
    <col min="10785" max="10785" width="7.59765625" customWidth="1"/>
    <col min="10786" max="10786" width="5.3984375" bestFit="1" customWidth="1"/>
    <col min="10787" max="10787" width="7.59765625" customWidth="1"/>
    <col min="10788" max="10788" width="5.3984375" customWidth="1"/>
    <col min="10789" max="10789" width="7.59765625" customWidth="1"/>
    <col min="10790" max="10790" width="5.3984375" bestFit="1" customWidth="1"/>
    <col min="10791" max="10791" width="7.59765625" customWidth="1"/>
    <col min="10792" max="10792" width="5.3984375" customWidth="1"/>
    <col min="10793" max="10793" width="7.59765625" customWidth="1"/>
    <col min="10794" max="10794" width="5.3984375" bestFit="1" customWidth="1"/>
    <col min="10795" max="10795" width="7.59765625" customWidth="1"/>
    <col min="10796" max="10796" width="5.3984375" customWidth="1"/>
    <col min="10797" max="10797" width="7.59765625" customWidth="1"/>
    <col min="10798" max="10798" width="5.3984375" bestFit="1" customWidth="1"/>
    <col min="10799" max="10799" width="7.59765625" customWidth="1"/>
    <col min="10800" max="10800" width="5.3984375" customWidth="1"/>
    <col min="10801" max="10801" width="7.59765625" customWidth="1"/>
    <col min="10802" max="10802" width="5.3984375" bestFit="1" customWidth="1"/>
    <col min="10803" max="10803" width="7.59765625" customWidth="1"/>
    <col min="10804" max="10804" width="5.3984375" customWidth="1"/>
    <col min="10805" max="10805" width="7.59765625" customWidth="1"/>
    <col min="10806" max="10806" width="5.3984375" bestFit="1" customWidth="1"/>
    <col min="10807" max="10807" width="7.59765625" customWidth="1"/>
    <col min="10808" max="10808" width="5.3984375" customWidth="1"/>
    <col min="10809" max="10809" width="7.59765625" customWidth="1"/>
    <col min="10810" max="10810" width="5.3984375" bestFit="1" customWidth="1"/>
    <col min="10811" max="10811" width="7.59765625" customWidth="1"/>
    <col min="10812" max="10812" width="5.3984375" customWidth="1"/>
    <col min="10813" max="10813" width="7.59765625" customWidth="1"/>
    <col min="10814" max="10814" width="5.3984375" bestFit="1" customWidth="1"/>
    <col min="10815" max="10815" width="7.59765625" customWidth="1"/>
    <col min="10816" max="10816" width="5.3984375" customWidth="1"/>
    <col min="10817" max="10817" width="7.59765625" customWidth="1"/>
    <col min="10818" max="10818" width="5.3984375" bestFit="1" customWidth="1"/>
    <col min="10819" max="10819" width="7.59765625" customWidth="1"/>
    <col min="10820" max="10820" width="5.3984375" customWidth="1"/>
    <col min="10821" max="10821" width="7.59765625" customWidth="1"/>
    <col min="10822" max="10822" width="5.3984375" bestFit="1" customWidth="1"/>
    <col min="10824" max="10825" width="5.3984375" bestFit="1" customWidth="1"/>
    <col min="10826" max="10826" width="2.09765625" bestFit="1" customWidth="1"/>
    <col min="10977" max="10977" width="4.3984375" customWidth="1"/>
    <col min="10978" max="10978" width="30.5" customWidth="1"/>
    <col min="10981" max="10981" width="10.69921875" customWidth="1"/>
    <col min="10982" max="10982" width="5.19921875" customWidth="1"/>
    <col min="10983" max="10983" width="7.59765625" customWidth="1"/>
    <col min="10984" max="10984" width="5.3984375" customWidth="1"/>
    <col min="10985" max="10985" width="7.59765625" customWidth="1"/>
    <col min="10986" max="10986" width="6" bestFit="1" customWidth="1"/>
    <col min="10987" max="10987" width="7.59765625" customWidth="1"/>
    <col min="10988" max="10988" width="5.3984375" customWidth="1"/>
    <col min="10989" max="10989" width="7.59765625" customWidth="1"/>
    <col min="10990" max="10990" width="5.3984375" bestFit="1" customWidth="1"/>
    <col min="10991" max="10991" width="7.59765625" customWidth="1"/>
    <col min="10992" max="10992" width="5.3984375" customWidth="1"/>
    <col min="10993" max="10993" width="7.59765625" customWidth="1"/>
    <col min="10994" max="10994" width="5.3984375" bestFit="1" customWidth="1"/>
    <col min="10995" max="10995" width="7.59765625" customWidth="1"/>
    <col min="10996" max="10996" width="5.3984375" customWidth="1"/>
    <col min="10997" max="10997" width="7.59765625" customWidth="1"/>
    <col min="10998" max="10998" width="5.3984375" bestFit="1" customWidth="1"/>
    <col min="10999" max="10999" width="7.59765625" customWidth="1"/>
    <col min="11000" max="11000" width="5.3984375" customWidth="1"/>
    <col min="11001" max="11001" width="7.59765625" customWidth="1"/>
    <col min="11002" max="11002" width="5.3984375" bestFit="1" customWidth="1"/>
    <col min="11003" max="11003" width="7.59765625" customWidth="1"/>
    <col min="11004" max="11004" width="5.3984375" customWidth="1"/>
    <col min="11005" max="11005" width="7.59765625" customWidth="1"/>
    <col min="11006" max="11006" width="5.3984375" bestFit="1" customWidth="1"/>
    <col min="11007" max="11007" width="7.59765625" customWidth="1"/>
    <col min="11008" max="11008" width="5.3984375" customWidth="1"/>
    <col min="11009" max="11009" width="7.59765625" customWidth="1"/>
    <col min="11010" max="11010" width="5.3984375" bestFit="1" customWidth="1"/>
    <col min="11011" max="11011" width="7.59765625" customWidth="1"/>
    <col min="11012" max="11012" width="5.3984375" customWidth="1"/>
    <col min="11013" max="11013" width="7.59765625" customWidth="1"/>
    <col min="11014" max="11014" width="5.3984375" bestFit="1" customWidth="1"/>
    <col min="11015" max="11015" width="7.59765625" customWidth="1"/>
    <col min="11016" max="11016" width="5.3984375" customWidth="1"/>
    <col min="11017" max="11017" width="7.59765625" customWidth="1"/>
    <col min="11018" max="11018" width="5.3984375" bestFit="1" customWidth="1"/>
    <col min="11019" max="11019" width="7.59765625" customWidth="1"/>
    <col min="11020" max="11020" width="5.3984375" customWidth="1"/>
    <col min="11021" max="11021" width="7.59765625" customWidth="1"/>
    <col min="11022" max="11022" width="5.3984375" bestFit="1" customWidth="1"/>
    <col min="11023" max="11023" width="7.59765625" customWidth="1"/>
    <col min="11024" max="11024" width="5.3984375" customWidth="1"/>
    <col min="11025" max="11025" width="7.59765625" customWidth="1"/>
    <col min="11026" max="11026" width="5.3984375" bestFit="1" customWidth="1"/>
    <col min="11027" max="11027" width="7.59765625" customWidth="1"/>
    <col min="11028" max="11028" width="5.3984375" customWidth="1"/>
    <col min="11029" max="11029" width="7.59765625" customWidth="1"/>
    <col min="11030" max="11030" width="5.3984375" bestFit="1" customWidth="1"/>
    <col min="11031" max="11031" width="7.59765625" customWidth="1"/>
    <col min="11032" max="11032" width="5.3984375" customWidth="1"/>
    <col min="11033" max="11033" width="7.59765625" customWidth="1"/>
    <col min="11034" max="11034" width="5.3984375" bestFit="1" customWidth="1"/>
    <col min="11035" max="11035" width="7.59765625" customWidth="1"/>
    <col min="11036" max="11036" width="5.3984375" customWidth="1"/>
    <col min="11037" max="11037" width="7.59765625" customWidth="1"/>
    <col min="11038" max="11038" width="5.3984375" bestFit="1" customWidth="1"/>
    <col min="11039" max="11039" width="7.59765625" customWidth="1"/>
    <col min="11040" max="11040" width="5.3984375" customWidth="1"/>
    <col min="11041" max="11041" width="7.59765625" customWidth="1"/>
    <col min="11042" max="11042" width="5.3984375" bestFit="1" customWidth="1"/>
    <col min="11043" max="11043" width="7.59765625" customWidth="1"/>
    <col min="11044" max="11044" width="5.3984375" customWidth="1"/>
    <col min="11045" max="11045" width="7.59765625" customWidth="1"/>
    <col min="11046" max="11046" width="5.3984375" bestFit="1" customWidth="1"/>
    <col min="11047" max="11047" width="7.59765625" customWidth="1"/>
    <col min="11048" max="11048" width="5.3984375" customWidth="1"/>
    <col min="11049" max="11049" width="7.59765625" customWidth="1"/>
    <col min="11050" max="11050" width="5.3984375" bestFit="1" customWidth="1"/>
    <col min="11051" max="11051" width="7.59765625" customWidth="1"/>
    <col min="11052" max="11052" width="5.3984375" customWidth="1"/>
    <col min="11053" max="11053" width="7.59765625" customWidth="1"/>
    <col min="11054" max="11054" width="5.3984375" bestFit="1" customWidth="1"/>
    <col min="11055" max="11055" width="7.59765625" customWidth="1"/>
    <col min="11056" max="11056" width="5.3984375" customWidth="1"/>
    <col min="11057" max="11057" width="7.59765625" customWidth="1"/>
    <col min="11058" max="11058" width="5.3984375" bestFit="1" customWidth="1"/>
    <col min="11059" max="11059" width="7.59765625" customWidth="1"/>
    <col min="11060" max="11060" width="5.3984375" customWidth="1"/>
    <col min="11061" max="11061" width="7.59765625" customWidth="1"/>
    <col min="11062" max="11062" width="5.3984375" bestFit="1" customWidth="1"/>
    <col min="11063" max="11063" width="7.59765625" customWidth="1"/>
    <col min="11064" max="11064" width="5.3984375" customWidth="1"/>
    <col min="11065" max="11065" width="7.59765625" customWidth="1"/>
    <col min="11066" max="11066" width="5.3984375" bestFit="1" customWidth="1"/>
    <col min="11067" max="11067" width="7.59765625" customWidth="1"/>
    <col min="11068" max="11068" width="5.3984375" customWidth="1"/>
    <col min="11069" max="11069" width="7.59765625" customWidth="1"/>
    <col min="11070" max="11070" width="5.3984375" bestFit="1" customWidth="1"/>
    <col min="11071" max="11071" width="7.59765625" customWidth="1"/>
    <col min="11072" max="11072" width="5.3984375" customWidth="1"/>
    <col min="11073" max="11073" width="7.59765625" customWidth="1"/>
    <col min="11074" max="11074" width="5.3984375" bestFit="1" customWidth="1"/>
    <col min="11075" max="11075" width="7.59765625" customWidth="1"/>
    <col min="11076" max="11076" width="5.3984375" customWidth="1"/>
    <col min="11077" max="11077" width="7.59765625" customWidth="1"/>
    <col min="11078" max="11078" width="5.3984375" bestFit="1" customWidth="1"/>
    <col min="11080" max="11081" width="5.3984375" bestFit="1" customWidth="1"/>
    <col min="11082" max="11082" width="2.09765625" bestFit="1" customWidth="1"/>
    <col min="11233" max="11233" width="4.3984375" customWidth="1"/>
    <col min="11234" max="11234" width="30.5" customWidth="1"/>
    <col min="11237" max="11237" width="10.69921875" customWidth="1"/>
    <col min="11238" max="11238" width="5.19921875" customWidth="1"/>
    <col min="11239" max="11239" width="7.59765625" customWidth="1"/>
    <col min="11240" max="11240" width="5.3984375" customWidth="1"/>
    <col min="11241" max="11241" width="7.59765625" customWidth="1"/>
    <col min="11242" max="11242" width="6" bestFit="1" customWidth="1"/>
    <col min="11243" max="11243" width="7.59765625" customWidth="1"/>
    <col min="11244" max="11244" width="5.3984375" customWidth="1"/>
    <col min="11245" max="11245" width="7.59765625" customWidth="1"/>
    <col min="11246" max="11246" width="5.3984375" bestFit="1" customWidth="1"/>
    <col min="11247" max="11247" width="7.59765625" customWidth="1"/>
    <col min="11248" max="11248" width="5.3984375" customWidth="1"/>
    <col min="11249" max="11249" width="7.59765625" customWidth="1"/>
    <col min="11250" max="11250" width="5.3984375" bestFit="1" customWidth="1"/>
    <col min="11251" max="11251" width="7.59765625" customWidth="1"/>
    <col min="11252" max="11252" width="5.3984375" customWidth="1"/>
    <col min="11253" max="11253" width="7.59765625" customWidth="1"/>
    <col min="11254" max="11254" width="5.3984375" bestFit="1" customWidth="1"/>
    <col min="11255" max="11255" width="7.59765625" customWidth="1"/>
    <col min="11256" max="11256" width="5.3984375" customWidth="1"/>
    <col min="11257" max="11257" width="7.59765625" customWidth="1"/>
    <col min="11258" max="11258" width="5.3984375" bestFit="1" customWidth="1"/>
    <col min="11259" max="11259" width="7.59765625" customWidth="1"/>
    <col min="11260" max="11260" width="5.3984375" customWidth="1"/>
    <col min="11261" max="11261" width="7.59765625" customWidth="1"/>
    <col min="11262" max="11262" width="5.3984375" bestFit="1" customWidth="1"/>
    <col min="11263" max="11263" width="7.59765625" customWidth="1"/>
    <col min="11264" max="11264" width="5.3984375" customWidth="1"/>
    <col min="11265" max="11265" width="7.59765625" customWidth="1"/>
    <col min="11266" max="11266" width="5.3984375" bestFit="1" customWidth="1"/>
    <col min="11267" max="11267" width="7.59765625" customWidth="1"/>
    <col min="11268" max="11268" width="5.3984375" customWidth="1"/>
    <col min="11269" max="11269" width="7.59765625" customWidth="1"/>
    <col min="11270" max="11270" width="5.3984375" bestFit="1" customWidth="1"/>
    <col min="11271" max="11271" width="7.59765625" customWidth="1"/>
    <col min="11272" max="11272" width="5.3984375" customWidth="1"/>
    <col min="11273" max="11273" width="7.59765625" customWidth="1"/>
    <col min="11274" max="11274" width="5.3984375" bestFit="1" customWidth="1"/>
    <col min="11275" max="11275" width="7.59765625" customWidth="1"/>
    <col min="11276" max="11276" width="5.3984375" customWidth="1"/>
    <col min="11277" max="11277" width="7.59765625" customWidth="1"/>
    <col min="11278" max="11278" width="5.3984375" bestFit="1" customWidth="1"/>
    <col min="11279" max="11279" width="7.59765625" customWidth="1"/>
    <col min="11280" max="11280" width="5.3984375" customWidth="1"/>
    <col min="11281" max="11281" width="7.59765625" customWidth="1"/>
    <col min="11282" max="11282" width="5.3984375" bestFit="1" customWidth="1"/>
    <col min="11283" max="11283" width="7.59765625" customWidth="1"/>
    <col min="11284" max="11284" width="5.3984375" customWidth="1"/>
    <col min="11285" max="11285" width="7.59765625" customWidth="1"/>
    <col min="11286" max="11286" width="5.3984375" bestFit="1" customWidth="1"/>
    <col min="11287" max="11287" width="7.59765625" customWidth="1"/>
    <col min="11288" max="11288" width="5.3984375" customWidth="1"/>
    <col min="11289" max="11289" width="7.59765625" customWidth="1"/>
    <col min="11290" max="11290" width="5.3984375" bestFit="1" customWidth="1"/>
    <col min="11291" max="11291" width="7.59765625" customWidth="1"/>
    <col min="11292" max="11292" width="5.3984375" customWidth="1"/>
    <col min="11293" max="11293" width="7.59765625" customWidth="1"/>
    <col min="11294" max="11294" width="5.3984375" bestFit="1" customWidth="1"/>
    <col min="11295" max="11295" width="7.59765625" customWidth="1"/>
    <col min="11296" max="11296" width="5.3984375" customWidth="1"/>
    <col min="11297" max="11297" width="7.59765625" customWidth="1"/>
    <col min="11298" max="11298" width="5.3984375" bestFit="1" customWidth="1"/>
    <col min="11299" max="11299" width="7.59765625" customWidth="1"/>
    <col min="11300" max="11300" width="5.3984375" customWidth="1"/>
    <col min="11301" max="11301" width="7.59765625" customWidth="1"/>
    <col min="11302" max="11302" width="5.3984375" bestFit="1" customWidth="1"/>
    <col min="11303" max="11303" width="7.59765625" customWidth="1"/>
    <col min="11304" max="11304" width="5.3984375" customWidth="1"/>
    <col min="11305" max="11305" width="7.59765625" customWidth="1"/>
    <col min="11306" max="11306" width="5.3984375" bestFit="1" customWidth="1"/>
    <col min="11307" max="11307" width="7.59765625" customWidth="1"/>
    <col min="11308" max="11308" width="5.3984375" customWidth="1"/>
    <col min="11309" max="11309" width="7.59765625" customWidth="1"/>
    <col min="11310" max="11310" width="5.3984375" bestFit="1" customWidth="1"/>
    <col min="11311" max="11311" width="7.59765625" customWidth="1"/>
    <col min="11312" max="11312" width="5.3984375" customWidth="1"/>
    <col min="11313" max="11313" width="7.59765625" customWidth="1"/>
    <col min="11314" max="11314" width="5.3984375" bestFit="1" customWidth="1"/>
    <col min="11315" max="11315" width="7.59765625" customWidth="1"/>
    <col min="11316" max="11316" width="5.3984375" customWidth="1"/>
    <col min="11317" max="11317" width="7.59765625" customWidth="1"/>
    <col min="11318" max="11318" width="5.3984375" bestFit="1" customWidth="1"/>
    <col min="11319" max="11319" width="7.59765625" customWidth="1"/>
    <col min="11320" max="11320" width="5.3984375" customWidth="1"/>
    <col min="11321" max="11321" width="7.59765625" customWidth="1"/>
    <col min="11322" max="11322" width="5.3984375" bestFit="1" customWidth="1"/>
    <col min="11323" max="11323" width="7.59765625" customWidth="1"/>
    <col min="11324" max="11324" width="5.3984375" customWidth="1"/>
    <col min="11325" max="11325" width="7.59765625" customWidth="1"/>
    <col min="11326" max="11326" width="5.3984375" bestFit="1" customWidth="1"/>
    <col min="11327" max="11327" width="7.59765625" customWidth="1"/>
    <col min="11328" max="11328" width="5.3984375" customWidth="1"/>
    <col min="11329" max="11329" width="7.59765625" customWidth="1"/>
    <col min="11330" max="11330" width="5.3984375" bestFit="1" customWidth="1"/>
    <col min="11331" max="11331" width="7.59765625" customWidth="1"/>
    <col min="11332" max="11332" width="5.3984375" customWidth="1"/>
    <col min="11333" max="11333" width="7.59765625" customWidth="1"/>
    <col min="11334" max="11334" width="5.3984375" bestFit="1" customWidth="1"/>
    <col min="11336" max="11337" width="5.3984375" bestFit="1" customWidth="1"/>
    <col min="11338" max="11338" width="2.09765625" bestFit="1" customWidth="1"/>
    <col min="11489" max="11489" width="4.3984375" customWidth="1"/>
    <col min="11490" max="11490" width="30.5" customWidth="1"/>
    <col min="11493" max="11493" width="10.69921875" customWidth="1"/>
    <col min="11494" max="11494" width="5.19921875" customWidth="1"/>
    <col min="11495" max="11495" width="7.59765625" customWidth="1"/>
    <col min="11496" max="11496" width="5.3984375" customWidth="1"/>
    <col min="11497" max="11497" width="7.59765625" customWidth="1"/>
    <col min="11498" max="11498" width="6" bestFit="1" customWidth="1"/>
    <col min="11499" max="11499" width="7.59765625" customWidth="1"/>
    <col min="11500" max="11500" width="5.3984375" customWidth="1"/>
    <col min="11501" max="11501" width="7.59765625" customWidth="1"/>
    <col min="11502" max="11502" width="5.3984375" bestFit="1" customWidth="1"/>
    <col min="11503" max="11503" width="7.59765625" customWidth="1"/>
    <col min="11504" max="11504" width="5.3984375" customWidth="1"/>
    <col min="11505" max="11505" width="7.59765625" customWidth="1"/>
    <col min="11506" max="11506" width="5.3984375" bestFit="1" customWidth="1"/>
    <col min="11507" max="11507" width="7.59765625" customWidth="1"/>
    <col min="11508" max="11508" width="5.3984375" customWidth="1"/>
    <col min="11509" max="11509" width="7.59765625" customWidth="1"/>
    <col min="11510" max="11510" width="5.3984375" bestFit="1" customWidth="1"/>
    <col min="11511" max="11511" width="7.59765625" customWidth="1"/>
    <col min="11512" max="11512" width="5.3984375" customWidth="1"/>
    <col min="11513" max="11513" width="7.59765625" customWidth="1"/>
    <col min="11514" max="11514" width="5.3984375" bestFit="1" customWidth="1"/>
    <col min="11515" max="11515" width="7.59765625" customWidth="1"/>
    <col min="11516" max="11516" width="5.3984375" customWidth="1"/>
    <col min="11517" max="11517" width="7.59765625" customWidth="1"/>
    <col min="11518" max="11518" width="5.3984375" bestFit="1" customWidth="1"/>
    <col min="11519" max="11519" width="7.59765625" customWidth="1"/>
    <col min="11520" max="11520" width="5.3984375" customWidth="1"/>
    <col min="11521" max="11521" width="7.59765625" customWidth="1"/>
    <col min="11522" max="11522" width="5.3984375" bestFit="1" customWidth="1"/>
    <col min="11523" max="11523" width="7.59765625" customWidth="1"/>
    <col min="11524" max="11524" width="5.3984375" customWidth="1"/>
    <col min="11525" max="11525" width="7.59765625" customWidth="1"/>
    <col min="11526" max="11526" width="5.3984375" bestFit="1" customWidth="1"/>
    <col min="11527" max="11527" width="7.59765625" customWidth="1"/>
    <col min="11528" max="11528" width="5.3984375" customWidth="1"/>
    <col min="11529" max="11529" width="7.59765625" customWidth="1"/>
    <col min="11530" max="11530" width="5.3984375" bestFit="1" customWidth="1"/>
    <col min="11531" max="11531" width="7.59765625" customWidth="1"/>
    <col min="11532" max="11532" width="5.3984375" customWidth="1"/>
    <col min="11533" max="11533" width="7.59765625" customWidth="1"/>
    <col min="11534" max="11534" width="5.3984375" bestFit="1" customWidth="1"/>
    <col min="11535" max="11535" width="7.59765625" customWidth="1"/>
    <col min="11536" max="11536" width="5.3984375" customWidth="1"/>
    <col min="11537" max="11537" width="7.59765625" customWidth="1"/>
    <col min="11538" max="11538" width="5.3984375" bestFit="1" customWidth="1"/>
    <col min="11539" max="11539" width="7.59765625" customWidth="1"/>
    <col min="11540" max="11540" width="5.3984375" customWidth="1"/>
    <col min="11541" max="11541" width="7.59765625" customWidth="1"/>
    <col min="11542" max="11542" width="5.3984375" bestFit="1" customWidth="1"/>
    <col min="11543" max="11543" width="7.59765625" customWidth="1"/>
    <col min="11544" max="11544" width="5.3984375" customWidth="1"/>
    <col min="11545" max="11545" width="7.59765625" customWidth="1"/>
    <col min="11546" max="11546" width="5.3984375" bestFit="1" customWidth="1"/>
    <col min="11547" max="11547" width="7.59765625" customWidth="1"/>
    <col min="11548" max="11548" width="5.3984375" customWidth="1"/>
    <col min="11549" max="11549" width="7.59765625" customWidth="1"/>
    <col min="11550" max="11550" width="5.3984375" bestFit="1" customWidth="1"/>
    <col min="11551" max="11551" width="7.59765625" customWidth="1"/>
    <col min="11552" max="11552" width="5.3984375" customWidth="1"/>
    <col min="11553" max="11553" width="7.59765625" customWidth="1"/>
    <col min="11554" max="11554" width="5.3984375" bestFit="1" customWidth="1"/>
    <col min="11555" max="11555" width="7.59765625" customWidth="1"/>
    <col min="11556" max="11556" width="5.3984375" customWidth="1"/>
    <col min="11557" max="11557" width="7.59765625" customWidth="1"/>
    <col min="11558" max="11558" width="5.3984375" bestFit="1" customWidth="1"/>
    <col min="11559" max="11559" width="7.59765625" customWidth="1"/>
    <col min="11560" max="11560" width="5.3984375" customWidth="1"/>
    <col min="11561" max="11561" width="7.59765625" customWidth="1"/>
    <col min="11562" max="11562" width="5.3984375" bestFit="1" customWidth="1"/>
    <col min="11563" max="11563" width="7.59765625" customWidth="1"/>
    <col min="11564" max="11564" width="5.3984375" customWidth="1"/>
    <col min="11565" max="11565" width="7.59765625" customWidth="1"/>
    <col min="11566" max="11566" width="5.3984375" bestFit="1" customWidth="1"/>
    <col min="11567" max="11567" width="7.59765625" customWidth="1"/>
    <col min="11568" max="11568" width="5.3984375" customWidth="1"/>
    <col min="11569" max="11569" width="7.59765625" customWidth="1"/>
    <col min="11570" max="11570" width="5.3984375" bestFit="1" customWidth="1"/>
    <col min="11571" max="11571" width="7.59765625" customWidth="1"/>
    <col min="11572" max="11572" width="5.3984375" customWidth="1"/>
    <col min="11573" max="11573" width="7.59765625" customWidth="1"/>
    <col min="11574" max="11574" width="5.3984375" bestFit="1" customWidth="1"/>
    <col min="11575" max="11575" width="7.59765625" customWidth="1"/>
    <col min="11576" max="11576" width="5.3984375" customWidth="1"/>
    <col min="11577" max="11577" width="7.59765625" customWidth="1"/>
    <col min="11578" max="11578" width="5.3984375" bestFit="1" customWidth="1"/>
    <col min="11579" max="11579" width="7.59765625" customWidth="1"/>
    <col min="11580" max="11580" width="5.3984375" customWidth="1"/>
    <col min="11581" max="11581" width="7.59765625" customWidth="1"/>
    <col min="11582" max="11582" width="5.3984375" bestFit="1" customWidth="1"/>
    <col min="11583" max="11583" width="7.59765625" customWidth="1"/>
    <col min="11584" max="11584" width="5.3984375" customWidth="1"/>
    <col min="11585" max="11585" width="7.59765625" customWidth="1"/>
    <col min="11586" max="11586" width="5.3984375" bestFit="1" customWidth="1"/>
    <col min="11587" max="11587" width="7.59765625" customWidth="1"/>
    <col min="11588" max="11588" width="5.3984375" customWidth="1"/>
    <col min="11589" max="11589" width="7.59765625" customWidth="1"/>
    <col min="11590" max="11590" width="5.3984375" bestFit="1" customWidth="1"/>
    <col min="11592" max="11593" width="5.3984375" bestFit="1" customWidth="1"/>
    <col min="11594" max="11594" width="2.09765625" bestFit="1" customWidth="1"/>
    <col min="11745" max="11745" width="4.3984375" customWidth="1"/>
    <col min="11746" max="11746" width="30.5" customWidth="1"/>
    <col min="11749" max="11749" width="10.69921875" customWidth="1"/>
    <col min="11750" max="11750" width="5.19921875" customWidth="1"/>
    <col min="11751" max="11751" width="7.59765625" customWidth="1"/>
    <col min="11752" max="11752" width="5.3984375" customWidth="1"/>
    <col min="11753" max="11753" width="7.59765625" customWidth="1"/>
    <col min="11754" max="11754" width="6" bestFit="1" customWidth="1"/>
    <col min="11755" max="11755" width="7.59765625" customWidth="1"/>
    <col min="11756" max="11756" width="5.3984375" customWidth="1"/>
    <col min="11757" max="11757" width="7.59765625" customWidth="1"/>
    <col min="11758" max="11758" width="5.3984375" bestFit="1" customWidth="1"/>
    <col min="11759" max="11759" width="7.59765625" customWidth="1"/>
    <col min="11760" max="11760" width="5.3984375" customWidth="1"/>
    <col min="11761" max="11761" width="7.59765625" customWidth="1"/>
    <col min="11762" max="11762" width="5.3984375" bestFit="1" customWidth="1"/>
    <col min="11763" max="11763" width="7.59765625" customWidth="1"/>
    <col min="11764" max="11764" width="5.3984375" customWidth="1"/>
    <col min="11765" max="11765" width="7.59765625" customWidth="1"/>
    <col min="11766" max="11766" width="5.3984375" bestFit="1" customWidth="1"/>
    <col min="11767" max="11767" width="7.59765625" customWidth="1"/>
    <col min="11768" max="11768" width="5.3984375" customWidth="1"/>
    <col min="11769" max="11769" width="7.59765625" customWidth="1"/>
    <col min="11770" max="11770" width="5.3984375" bestFit="1" customWidth="1"/>
    <col min="11771" max="11771" width="7.59765625" customWidth="1"/>
    <col min="11772" max="11772" width="5.3984375" customWidth="1"/>
    <col min="11773" max="11773" width="7.59765625" customWidth="1"/>
    <col min="11774" max="11774" width="5.3984375" bestFit="1" customWidth="1"/>
    <col min="11775" max="11775" width="7.59765625" customWidth="1"/>
    <col min="11776" max="11776" width="5.3984375" customWidth="1"/>
    <col min="11777" max="11777" width="7.59765625" customWidth="1"/>
    <col min="11778" max="11778" width="5.3984375" bestFit="1" customWidth="1"/>
    <col min="11779" max="11779" width="7.59765625" customWidth="1"/>
    <col min="11780" max="11780" width="5.3984375" customWidth="1"/>
    <col min="11781" max="11781" width="7.59765625" customWidth="1"/>
    <col min="11782" max="11782" width="5.3984375" bestFit="1" customWidth="1"/>
    <col min="11783" max="11783" width="7.59765625" customWidth="1"/>
    <col min="11784" max="11784" width="5.3984375" customWidth="1"/>
    <col min="11785" max="11785" width="7.59765625" customWidth="1"/>
    <col min="11786" max="11786" width="5.3984375" bestFit="1" customWidth="1"/>
    <col min="11787" max="11787" width="7.59765625" customWidth="1"/>
    <col min="11788" max="11788" width="5.3984375" customWidth="1"/>
    <col min="11789" max="11789" width="7.59765625" customWidth="1"/>
    <col min="11790" max="11790" width="5.3984375" bestFit="1" customWidth="1"/>
    <col min="11791" max="11791" width="7.59765625" customWidth="1"/>
    <col min="11792" max="11792" width="5.3984375" customWidth="1"/>
    <col min="11793" max="11793" width="7.59765625" customWidth="1"/>
    <col min="11794" max="11794" width="5.3984375" bestFit="1" customWidth="1"/>
    <col min="11795" max="11795" width="7.59765625" customWidth="1"/>
    <col min="11796" max="11796" width="5.3984375" customWidth="1"/>
    <col min="11797" max="11797" width="7.59765625" customWidth="1"/>
    <col min="11798" max="11798" width="5.3984375" bestFit="1" customWidth="1"/>
    <col min="11799" max="11799" width="7.59765625" customWidth="1"/>
    <col min="11800" max="11800" width="5.3984375" customWidth="1"/>
    <col min="11801" max="11801" width="7.59765625" customWidth="1"/>
    <col min="11802" max="11802" width="5.3984375" bestFit="1" customWidth="1"/>
    <col min="11803" max="11803" width="7.59765625" customWidth="1"/>
    <col min="11804" max="11804" width="5.3984375" customWidth="1"/>
    <col min="11805" max="11805" width="7.59765625" customWidth="1"/>
    <col min="11806" max="11806" width="5.3984375" bestFit="1" customWidth="1"/>
    <col min="11807" max="11807" width="7.59765625" customWidth="1"/>
    <col min="11808" max="11808" width="5.3984375" customWidth="1"/>
    <col min="11809" max="11809" width="7.59765625" customWidth="1"/>
    <col min="11810" max="11810" width="5.3984375" bestFit="1" customWidth="1"/>
    <col min="11811" max="11811" width="7.59765625" customWidth="1"/>
    <col min="11812" max="11812" width="5.3984375" customWidth="1"/>
    <col min="11813" max="11813" width="7.59765625" customWidth="1"/>
    <col min="11814" max="11814" width="5.3984375" bestFit="1" customWidth="1"/>
    <col min="11815" max="11815" width="7.59765625" customWidth="1"/>
    <col min="11816" max="11816" width="5.3984375" customWidth="1"/>
    <col min="11817" max="11817" width="7.59765625" customWidth="1"/>
    <col min="11818" max="11818" width="5.3984375" bestFit="1" customWidth="1"/>
    <col min="11819" max="11819" width="7.59765625" customWidth="1"/>
    <col min="11820" max="11820" width="5.3984375" customWidth="1"/>
    <col min="11821" max="11821" width="7.59765625" customWidth="1"/>
    <col min="11822" max="11822" width="5.3984375" bestFit="1" customWidth="1"/>
    <col min="11823" max="11823" width="7.59765625" customWidth="1"/>
    <col min="11824" max="11824" width="5.3984375" customWidth="1"/>
    <col min="11825" max="11825" width="7.59765625" customWidth="1"/>
    <col min="11826" max="11826" width="5.3984375" bestFit="1" customWidth="1"/>
    <col min="11827" max="11827" width="7.59765625" customWidth="1"/>
    <col min="11828" max="11828" width="5.3984375" customWidth="1"/>
    <col min="11829" max="11829" width="7.59765625" customWidth="1"/>
    <col min="11830" max="11830" width="5.3984375" bestFit="1" customWidth="1"/>
    <col min="11831" max="11831" width="7.59765625" customWidth="1"/>
    <col min="11832" max="11832" width="5.3984375" customWidth="1"/>
    <col min="11833" max="11833" width="7.59765625" customWidth="1"/>
    <col min="11834" max="11834" width="5.3984375" bestFit="1" customWidth="1"/>
    <col min="11835" max="11835" width="7.59765625" customWidth="1"/>
    <col min="11836" max="11836" width="5.3984375" customWidth="1"/>
    <col min="11837" max="11837" width="7.59765625" customWidth="1"/>
    <col min="11838" max="11838" width="5.3984375" bestFit="1" customWidth="1"/>
    <col min="11839" max="11839" width="7.59765625" customWidth="1"/>
    <col min="11840" max="11840" width="5.3984375" customWidth="1"/>
    <col min="11841" max="11841" width="7.59765625" customWidth="1"/>
    <col min="11842" max="11842" width="5.3984375" bestFit="1" customWidth="1"/>
    <col min="11843" max="11843" width="7.59765625" customWidth="1"/>
    <col min="11844" max="11844" width="5.3984375" customWidth="1"/>
    <col min="11845" max="11845" width="7.59765625" customWidth="1"/>
    <col min="11846" max="11846" width="5.3984375" bestFit="1" customWidth="1"/>
    <col min="11848" max="11849" width="5.3984375" bestFit="1" customWidth="1"/>
    <col min="11850" max="11850" width="2.09765625" bestFit="1" customWidth="1"/>
    <col min="12001" max="12001" width="4.3984375" customWidth="1"/>
    <col min="12002" max="12002" width="30.5" customWidth="1"/>
    <col min="12005" max="12005" width="10.69921875" customWidth="1"/>
    <col min="12006" max="12006" width="5.19921875" customWidth="1"/>
    <col min="12007" max="12007" width="7.59765625" customWidth="1"/>
    <col min="12008" max="12008" width="5.3984375" customWidth="1"/>
    <col min="12009" max="12009" width="7.59765625" customWidth="1"/>
    <col min="12010" max="12010" width="6" bestFit="1" customWidth="1"/>
    <col min="12011" max="12011" width="7.59765625" customWidth="1"/>
    <col min="12012" max="12012" width="5.3984375" customWidth="1"/>
    <col min="12013" max="12013" width="7.59765625" customWidth="1"/>
    <col min="12014" max="12014" width="5.3984375" bestFit="1" customWidth="1"/>
    <col min="12015" max="12015" width="7.59765625" customWidth="1"/>
    <col min="12016" max="12016" width="5.3984375" customWidth="1"/>
    <col min="12017" max="12017" width="7.59765625" customWidth="1"/>
    <col min="12018" max="12018" width="5.3984375" bestFit="1" customWidth="1"/>
    <col min="12019" max="12019" width="7.59765625" customWidth="1"/>
    <col min="12020" max="12020" width="5.3984375" customWidth="1"/>
    <col min="12021" max="12021" width="7.59765625" customWidth="1"/>
    <col min="12022" max="12022" width="5.3984375" bestFit="1" customWidth="1"/>
    <col min="12023" max="12023" width="7.59765625" customWidth="1"/>
    <col min="12024" max="12024" width="5.3984375" customWidth="1"/>
    <col min="12025" max="12025" width="7.59765625" customWidth="1"/>
    <col min="12026" max="12026" width="5.3984375" bestFit="1" customWidth="1"/>
    <col min="12027" max="12027" width="7.59765625" customWidth="1"/>
    <col min="12028" max="12028" width="5.3984375" customWidth="1"/>
    <col min="12029" max="12029" width="7.59765625" customWidth="1"/>
    <col min="12030" max="12030" width="5.3984375" bestFit="1" customWidth="1"/>
    <col min="12031" max="12031" width="7.59765625" customWidth="1"/>
    <col min="12032" max="12032" width="5.3984375" customWidth="1"/>
    <col min="12033" max="12033" width="7.59765625" customWidth="1"/>
    <col min="12034" max="12034" width="5.3984375" bestFit="1" customWidth="1"/>
    <col min="12035" max="12035" width="7.59765625" customWidth="1"/>
    <col min="12036" max="12036" width="5.3984375" customWidth="1"/>
    <col min="12037" max="12037" width="7.59765625" customWidth="1"/>
    <col min="12038" max="12038" width="5.3984375" bestFit="1" customWidth="1"/>
    <col min="12039" max="12039" width="7.59765625" customWidth="1"/>
    <col min="12040" max="12040" width="5.3984375" customWidth="1"/>
    <col min="12041" max="12041" width="7.59765625" customWidth="1"/>
    <col min="12042" max="12042" width="5.3984375" bestFit="1" customWidth="1"/>
    <col min="12043" max="12043" width="7.59765625" customWidth="1"/>
    <col min="12044" max="12044" width="5.3984375" customWidth="1"/>
    <col min="12045" max="12045" width="7.59765625" customWidth="1"/>
    <col min="12046" max="12046" width="5.3984375" bestFit="1" customWidth="1"/>
    <col min="12047" max="12047" width="7.59765625" customWidth="1"/>
    <col min="12048" max="12048" width="5.3984375" customWidth="1"/>
    <col min="12049" max="12049" width="7.59765625" customWidth="1"/>
    <col min="12050" max="12050" width="5.3984375" bestFit="1" customWidth="1"/>
    <col min="12051" max="12051" width="7.59765625" customWidth="1"/>
    <col min="12052" max="12052" width="5.3984375" customWidth="1"/>
    <col min="12053" max="12053" width="7.59765625" customWidth="1"/>
    <col min="12054" max="12054" width="5.3984375" bestFit="1" customWidth="1"/>
    <col min="12055" max="12055" width="7.59765625" customWidth="1"/>
    <col min="12056" max="12056" width="5.3984375" customWidth="1"/>
    <col min="12057" max="12057" width="7.59765625" customWidth="1"/>
    <col min="12058" max="12058" width="5.3984375" bestFit="1" customWidth="1"/>
    <col min="12059" max="12059" width="7.59765625" customWidth="1"/>
    <col min="12060" max="12060" width="5.3984375" customWidth="1"/>
    <col min="12061" max="12061" width="7.59765625" customWidth="1"/>
    <col min="12062" max="12062" width="5.3984375" bestFit="1" customWidth="1"/>
    <col min="12063" max="12063" width="7.59765625" customWidth="1"/>
    <col min="12064" max="12064" width="5.3984375" customWidth="1"/>
    <col min="12065" max="12065" width="7.59765625" customWidth="1"/>
    <col min="12066" max="12066" width="5.3984375" bestFit="1" customWidth="1"/>
    <col min="12067" max="12067" width="7.59765625" customWidth="1"/>
    <col min="12068" max="12068" width="5.3984375" customWidth="1"/>
    <col min="12069" max="12069" width="7.59765625" customWidth="1"/>
    <col min="12070" max="12070" width="5.3984375" bestFit="1" customWidth="1"/>
    <col min="12071" max="12071" width="7.59765625" customWidth="1"/>
    <col min="12072" max="12072" width="5.3984375" customWidth="1"/>
    <col min="12073" max="12073" width="7.59765625" customWidth="1"/>
    <col min="12074" max="12074" width="5.3984375" bestFit="1" customWidth="1"/>
    <col min="12075" max="12075" width="7.59765625" customWidth="1"/>
    <col min="12076" max="12076" width="5.3984375" customWidth="1"/>
    <col min="12077" max="12077" width="7.59765625" customWidth="1"/>
    <col min="12078" max="12078" width="5.3984375" bestFit="1" customWidth="1"/>
    <col min="12079" max="12079" width="7.59765625" customWidth="1"/>
    <col min="12080" max="12080" width="5.3984375" customWidth="1"/>
    <col min="12081" max="12081" width="7.59765625" customWidth="1"/>
    <col min="12082" max="12082" width="5.3984375" bestFit="1" customWidth="1"/>
    <col min="12083" max="12083" width="7.59765625" customWidth="1"/>
    <col min="12084" max="12084" width="5.3984375" customWidth="1"/>
    <col min="12085" max="12085" width="7.59765625" customWidth="1"/>
    <col min="12086" max="12086" width="5.3984375" bestFit="1" customWidth="1"/>
    <col min="12087" max="12087" width="7.59765625" customWidth="1"/>
    <col min="12088" max="12088" width="5.3984375" customWidth="1"/>
    <col min="12089" max="12089" width="7.59765625" customWidth="1"/>
    <col min="12090" max="12090" width="5.3984375" bestFit="1" customWidth="1"/>
    <col min="12091" max="12091" width="7.59765625" customWidth="1"/>
    <col min="12092" max="12092" width="5.3984375" customWidth="1"/>
    <col min="12093" max="12093" width="7.59765625" customWidth="1"/>
    <col min="12094" max="12094" width="5.3984375" bestFit="1" customWidth="1"/>
    <col min="12095" max="12095" width="7.59765625" customWidth="1"/>
    <col min="12096" max="12096" width="5.3984375" customWidth="1"/>
    <col min="12097" max="12097" width="7.59765625" customWidth="1"/>
    <col min="12098" max="12098" width="5.3984375" bestFit="1" customWidth="1"/>
    <col min="12099" max="12099" width="7.59765625" customWidth="1"/>
    <col min="12100" max="12100" width="5.3984375" customWidth="1"/>
    <col min="12101" max="12101" width="7.59765625" customWidth="1"/>
    <col min="12102" max="12102" width="5.3984375" bestFit="1" customWidth="1"/>
    <col min="12104" max="12105" width="5.3984375" bestFit="1" customWidth="1"/>
    <col min="12106" max="12106" width="2.09765625" bestFit="1" customWidth="1"/>
    <col min="12257" max="12257" width="4.3984375" customWidth="1"/>
    <col min="12258" max="12258" width="30.5" customWidth="1"/>
    <col min="12261" max="12261" width="10.69921875" customWidth="1"/>
    <col min="12262" max="12262" width="5.19921875" customWidth="1"/>
    <col min="12263" max="12263" width="7.59765625" customWidth="1"/>
    <col min="12264" max="12264" width="5.3984375" customWidth="1"/>
    <col min="12265" max="12265" width="7.59765625" customWidth="1"/>
    <col min="12266" max="12266" width="6" bestFit="1" customWidth="1"/>
    <col min="12267" max="12267" width="7.59765625" customWidth="1"/>
    <col min="12268" max="12268" width="5.3984375" customWidth="1"/>
    <col min="12269" max="12269" width="7.59765625" customWidth="1"/>
    <col min="12270" max="12270" width="5.3984375" bestFit="1" customWidth="1"/>
    <col min="12271" max="12271" width="7.59765625" customWidth="1"/>
    <col min="12272" max="12272" width="5.3984375" customWidth="1"/>
    <col min="12273" max="12273" width="7.59765625" customWidth="1"/>
    <col min="12274" max="12274" width="5.3984375" bestFit="1" customWidth="1"/>
    <col min="12275" max="12275" width="7.59765625" customWidth="1"/>
    <col min="12276" max="12276" width="5.3984375" customWidth="1"/>
    <col min="12277" max="12277" width="7.59765625" customWidth="1"/>
    <col min="12278" max="12278" width="5.3984375" bestFit="1" customWidth="1"/>
    <col min="12279" max="12279" width="7.59765625" customWidth="1"/>
    <col min="12280" max="12280" width="5.3984375" customWidth="1"/>
    <col min="12281" max="12281" width="7.59765625" customWidth="1"/>
    <col min="12282" max="12282" width="5.3984375" bestFit="1" customWidth="1"/>
    <col min="12283" max="12283" width="7.59765625" customWidth="1"/>
    <col min="12284" max="12284" width="5.3984375" customWidth="1"/>
    <col min="12285" max="12285" width="7.59765625" customWidth="1"/>
    <col min="12286" max="12286" width="5.3984375" bestFit="1" customWidth="1"/>
    <col min="12287" max="12287" width="7.59765625" customWidth="1"/>
    <col min="12288" max="12288" width="5.3984375" customWidth="1"/>
    <col min="12289" max="12289" width="7.59765625" customWidth="1"/>
    <col min="12290" max="12290" width="5.3984375" bestFit="1" customWidth="1"/>
    <col min="12291" max="12291" width="7.59765625" customWidth="1"/>
    <col min="12292" max="12292" width="5.3984375" customWidth="1"/>
    <col min="12293" max="12293" width="7.59765625" customWidth="1"/>
    <col min="12294" max="12294" width="5.3984375" bestFit="1" customWidth="1"/>
    <col min="12295" max="12295" width="7.59765625" customWidth="1"/>
    <col min="12296" max="12296" width="5.3984375" customWidth="1"/>
    <col min="12297" max="12297" width="7.59765625" customWidth="1"/>
    <col min="12298" max="12298" width="5.3984375" bestFit="1" customWidth="1"/>
    <col min="12299" max="12299" width="7.59765625" customWidth="1"/>
    <col min="12300" max="12300" width="5.3984375" customWidth="1"/>
    <col min="12301" max="12301" width="7.59765625" customWidth="1"/>
    <col min="12302" max="12302" width="5.3984375" bestFit="1" customWidth="1"/>
    <col min="12303" max="12303" width="7.59765625" customWidth="1"/>
    <col min="12304" max="12304" width="5.3984375" customWidth="1"/>
    <col min="12305" max="12305" width="7.59765625" customWidth="1"/>
    <col min="12306" max="12306" width="5.3984375" bestFit="1" customWidth="1"/>
    <col min="12307" max="12307" width="7.59765625" customWidth="1"/>
    <col min="12308" max="12308" width="5.3984375" customWidth="1"/>
    <col min="12309" max="12309" width="7.59765625" customWidth="1"/>
    <col min="12310" max="12310" width="5.3984375" bestFit="1" customWidth="1"/>
    <col min="12311" max="12311" width="7.59765625" customWidth="1"/>
    <col min="12312" max="12312" width="5.3984375" customWidth="1"/>
    <col min="12313" max="12313" width="7.59765625" customWidth="1"/>
    <col min="12314" max="12314" width="5.3984375" bestFit="1" customWidth="1"/>
    <col min="12315" max="12315" width="7.59765625" customWidth="1"/>
    <col min="12316" max="12316" width="5.3984375" customWidth="1"/>
    <col min="12317" max="12317" width="7.59765625" customWidth="1"/>
    <col min="12318" max="12318" width="5.3984375" bestFit="1" customWidth="1"/>
    <col min="12319" max="12319" width="7.59765625" customWidth="1"/>
    <col min="12320" max="12320" width="5.3984375" customWidth="1"/>
    <col min="12321" max="12321" width="7.59765625" customWidth="1"/>
    <col min="12322" max="12322" width="5.3984375" bestFit="1" customWidth="1"/>
    <col min="12323" max="12323" width="7.59765625" customWidth="1"/>
    <col min="12324" max="12324" width="5.3984375" customWidth="1"/>
    <col min="12325" max="12325" width="7.59765625" customWidth="1"/>
    <col min="12326" max="12326" width="5.3984375" bestFit="1" customWidth="1"/>
    <col min="12327" max="12327" width="7.59765625" customWidth="1"/>
    <col min="12328" max="12328" width="5.3984375" customWidth="1"/>
    <col min="12329" max="12329" width="7.59765625" customWidth="1"/>
    <col min="12330" max="12330" width="5.3984375" bestFit="1" customWidth="1"/>
    <col min="12331" max="12331" width="7.59765625" customWidth="1"/>
    <col min="12332" max="12332" width="5.3984375" customWidth="1"/>
    <col min="12333" max="12333" width="7.59765625" customWidth="1"/>
    <col min="12334" max="12334" width="5.3984375" bestFit="1" customWidth="1"/>
    <col min="12335" max="12335" width="7.59765625" customWidth="1"/>
    <col min="12336" max="12336" width="5.3984375" customWidth="1"/>
    <col min="12337" max="12337" width="7.59765625" customWidth="1"/>
    <col min="12338" max="12338" width="5.3984375" bestFit="1" customWidth="1"/>
    <col min="12339" max="12339" width="7.59765625" customWidth="1"/>
    <col min="12340" max="12340" width="5.3984375" customWidth="1"/>
    <col min="12341" max="12341" width="7.59765625" customWidth="1"/>
    <col min="12342" max="12342" width="5.3984375" bestFit="1" customWidth="1"/>
    <col min="12343" max="12343" width="7.59765625" customWidth="1"/>
    <col min="12344" max="12344" width="5.3984375" customWidth="1"/>
    <col min="12345" max="12345" width="7.59765625" customWidth="1"/>
    <col min="12346" max="12346" width="5.3984375" bestFit="1" customWidth="1"/>
    <col min="12347" max="12347" width="7.59765625" customWidth="1"/>
    <col min="12348" max="12348" width="5.3984375" customWidth="1"/>
    <col min="12349" max="12349" width="7.59765625" customWidth="1"/>
    <col min="12350" max="12350" width="5.3984375" bestFit="1" customWidth="1"/>
    <col min="12351" max="12351" width="7.59765625" customWidth="1"/>
    <col min="12352" max="12352" width="5.3984375" customWidth="1"/>
    <col min="12353" max="12353" width="7.59765625" customWidth="1"/>
    <col min="12354" max="12354" width="5.3984375" bestFit="1" customWidth="1"/>
    <col min="12355" max="12355" width="7.59765625" customWidth="1"/>
    <col min="12356" max="12356" width="5.3984375" customWidth="1"/>
    <col min="12357" max="12357" width="7.59765625" customWidth="1"/>
    <col min="12358" max="12358" width="5.3984375" bestFit="1" customWidth="1"/>
    <col min="12360" max="12361" width="5.3984375" bestFit="1" customWidth="1"/>
    <col min="12362" max="12362" width="2.09765625" bestFit="1" customWidth="1"/>
    <col min="12513" max="12513" width="4.3984375" customWidth="1"/>
    <col min="12514" max="12514" width="30.5" customWidth="1"/>
    <col min="12517" max="12517" width="10.69921875" customWidth="1"/>
    <col min="12518" max="12518" width="5.19921875" customWidth="1"/>
    <col min="12519" max="12519" width="7.59765625" customWidth="1"/>
    <col min="12520" max="12520" width="5.3984375" customWidth="1"/>
    <col min="12521" max="12521" width="7.59765625" customWidth="1"/>
    <col min="12522" max="12522" width="6" bestFit="1" customWidth="1"/>
    <col min="12523" max="12523" width="7.59765625" customWidth="1"/>
    <col min="12524" max="12524" width="5.3984375" customWidth="1"/>
    <col min="12525" max="12525" width="7.59765625" customWidth="1"/>
    <col min="12526" max="12526" width="5.3984375" bestFit="1" customWidth="1"/>
    <col min="12527" max="12527" width="7.59765625" customWidth="1"/>
    <col min="12528" max="12528" width="5.3984375" customWidth="1"/>
    <col min="12529" max="12529" width="7.59765625" customWidth="1"/>
    <col min="12530" max="12530" width="5.3984375" bestFit="1" customWidth="1"/>
    <col min="12531" max="12531" width="7.59765625" customWidth="1"/>
    <col min="12532" max="12532" width="5.3984375" customWidth="1"/>
    <col min="12533" max="12533" width="7.59765625" customWidth="1"/>
    <col min="12534" max="12534" width="5.3984375" bestFit="1" customWidth="1"/>
    <col min="12535" max="12535" width="7.59765625" customWidth="1"/>
    <col min="12536" max="12536" width="5.3984375" customWidth="1"/>
    <col min="12537" max="12537" width="7.59765625" customWidth="1"/>
    <col min="12538" max="12538" width="5.3984375" bestFit="1" customWidth="1"/>
    <col min="12539" max="12539" width="7.59765625" customWidth="1"/>
    <col min="12540" max="12540" width="5.3984375" customWidth="1"/>
    <col min="12541" max="12541" width="7.59765625" customWidth="1"/>
    <col min="12542" max="12542" width="5.3984375" bestFit="1" customWidth="1"/>
    <col min="12543" max="12543" width="7.59765625" customWidth="1"/>
    <col min="12544" max="12544" width="5.3984375" customWidth="1"/>
    <col min="12545" max="12545" width="7.59765625" customWidth="1"/>
    <col min="12546" max="12546" width="5.3984375" bestFit="1" customWidth="1"/>
    <col min="12547" max="12547" width="7.59765625" customWidth="1"/>
    <col min="12548" max="12548" width="5.3984375" customWidth="1"/>
    <col min="12549" max="12549" width="7.59765625" customWidth="1"/>
    <col min="12550" max="12550" width="5.3984375" bestFit="1" customWidth="1"/>
    <col min="12551" max="12551" width="7.59765625" customWidth="1"/>
    <col min="12552" max="12552" width="5.3984375" customWidth="1"/>
    <col min="12553" max="12553" width="7.59765625" customWidth="1"/>
    <col min="12554" max="12554" width="5.3984375" bestFit="1" customWidth="1"/>
    <col min="12555" max="12555" width="7.59765625" customWidth="1"/>
    <col min="12556" max="12556" width="5.3984375" customWidth="1"/>
    <col min="12557" max="12557" width="7.59765625" customWidth="1"/>
    <col min="12558" max="12558" width="5.3984375" bestFit="1" customWidth="1"/>
    <col min="12559" max="12559" width="7.59765625" customWidth="1"/>
    <col min="12560" max="12560" width="5.3984375" customWidth="1"/>
    <col min="12561" max="12561" width="7.59765625" customWidth="1"/>
    <col min="12562" max="12562" width="5.3984375" bestFit="1" customWidth="1"/>
    <col min="12563" max="12563" width="7.59765625" customWidth="1"/>
    <col min="12564" max="12564" width="5.3984375" customWidth="1"/>
    <col min="12565" max="12565" width="7.59765625" customWidth="1"/>
    <col min="12566" max="12566" width="5.3984375" bestFit="1" customWidth="1"/>
    <col min="12567" max="12567" width="7.59765625" customWidth="1"/>
    <col min="12568" max="12568" width="5.3984375" customWidth="1"/>
    <col min="12569" max="12569" width="7.59765625" customWidth="1"/>
    <col min="12570" max="12570" width="5.3984375" bestFit="1" customWidth="1"/>
    <col min="12571" max="12571" width="7.59765625" customWidth="1"/>
    <col min="12572" max="12572" width="5.3984375" customWidth="1"/>
    <col min="12573" max="12573" width="7.59765625" customWidth="1"/>
    <col min="12574" max="12574" width="5.3984375" bestFit="1" customWidth="1"/>
    <col min="12575" max="12575" width="7.59765625" customWidth="1"/>
    <col min="12576" max="12576" width="5.3984375" customWidth="1"/>
    <col min="12577" max="12577" width="7.59765625" customWidth="1"/>
    <col min="12578" max="12578" width="5.3984375" bestFit="1" customWidth="1"/>
    <col min="12579" max="12579" width="7.59765625" customWidth="1"/>
    <col min="12580" max="12580" width="5.3984375" customWidth="1"/>
    <col min="12581" max="12581" width="7.59765625" customWidth="1"/>
    <col min="12582" max="12582" width="5.3984375" bestFit="1" customWidth="1"/>
    <col min="12583" max="12583" width="7.59765625" customWidth="1"/>
    <col min="12584" max="12584" width="5.3984375" customWidth="1"/>
    <col min="12585" max="12585" width="7.59765625" customWidth="1"/>
    <col min="12586" max="12586" width="5.3984375" bestFit="1" customWidth="1"/>
    <col min="12587" max="12587" width="7.59765625" customWidth="1"/>
    <col min="12588" max="12588" width="5.3984375" customWidth="1"/>
    <col min="12589" max="12589" width="7.59765625" customWidth="1"/>
    <col min="12590" max="12590" width="5.3984375" bestFit="1" customWidth="1"/>
    <col min="12591" max="12591" width="7.59765625" customWidth="1"/>
    <col min="12592" max="12592" width="5.3984375" customWidth="1"/>
    <col min="12593" max="12593" width="7.59765625" customWidth="1"/>
    <col min="12594" max="12594" width="5.3984375" bestFit="1" customWidth="1"/>
    <col min="12595" max="12595" width="7.59765625" customWidth="1"/>
    <col min="12596" max="12596" width="5.3984375" customWidth="1"/>
    <col min="12597" max="12597" width="7.59765625" customWidth="1"/>
    <col min="12598" max="12598" width="5.3984375" bestFit="1" customWidth="1"/>
    <col min="12599" max="12599" width="7.59765625" customWidth="1"/>
    <col min="12600" max="12600" width="5.3984375" customWidth="1"/>
    <col min="12601" max="12601" width="7.59765625" customWidth="1"/>
    <col min="12602" max="12602" width="5.3984375" bestFit="1" customWidth="1"/>
    <col min="12603" max="12603" width="7.59765625" customWidth="1"/>
    <col min="12604" max="12604" width="5.3984375" customWidth="1"/>
    <col min="12605" max="12605" width="7.59765625" customWidth="1"/>
    <col min="12606" max="12606" width="5.3984375" bestFit="1" customWidth="1"/>
    <col min="12607" max="12607" width="7.59765625" customWidth="1"/>
    <col min="12608" max="12608" width="5.3984375" customWidth="1"/>
    <col min="12609" max="12609" width="7.59765625" customWidth="1"/>
    <col min="12610" max="12610" width="5.3984375" bestFit="1" customWidth="1"/>
    <col min="12611" max="12611" width="7.59765625" customWidth="1"/>
    <col min="12612" max="12612" width="5.3984375" customWidth="1"/>
    <col min="12613" max="12613" width="7.59765625" customWidth="1"/>
    <col min="12614" max="12614" width="5.3984375" bestFit="1" customWidth="1"/>
    <col min="12616" max="12617" width="5.3984375" bestFit="1" customWidth="1"/>
    <col min="12618" max="12618" width="2.09765625" bestFit="1" customWidth="1"/>
    <col min="12769" max="12769" width="4.3984375" customWidth="1"/>
    <col min="12770" max="12770" width="30.5" customWidth="1"/>
    <col min="12773" max="12773" width="10.69921875" customWidth="1"/>
    <col min="12774" max="12774" width="5.19921875" customWidth="1"/>
    <col min="12775" max="12775" width="7.59765625" customWidth="1"/>
    <col min="12776" max="12776" width="5.3984375" customWidth="1"/>
    <col min="12777" max="12777" width="7.59765625" customWidth="1"/>
    <col min="12778" max="12778" width="6" bestFit="1" customWidth="1"/>
    <col min="12779" max="12779" width="7.59765625" customWidth="1"/>
    <col min="12780" max="12780" width="5.3984375" customWidth="1"/>
    <col min="12781" max="12781" width="7.59765625" customWidth="1"/>
    <col min="12782" max="12782" width="5.3984375" bestFit="1" customWidth="1"/>
    <col min="12783" max="12783" width="7.59765625" customWidth="1"/>
    <col min="12784" max="12784" width="5.3984375" customWidth="1"/>
    <col min="12785" max="12785" width="7.59765625" customWidth="1"/>
    <col min="12786" max="12786" width="5.3984375" bestFit="1" customWidth="1"/>
    <col min="12787" max="12787" width="7.59765625" customWidth="1"/>
    <col min="12788" max="12788" width="5.3984375" customWidth="1"/>
    <col min="12789" max="12789" width="7.59765625" customWidth="1"/>
    <col min="12790" max="12790" width="5.3984375" bestFit="1" customWidth="1"/>
    <col min="12791" max="12791" width="7.59765625" customWidth="1"/>
    <col min="12792" max="12792" width="5.3984375" customWidth="1"/>
    <col min="12793" max="12793" width="7.59765625" customWidth="1"/>
    <col min="12794" max="12794" width="5.3984375" bestFit="1" customWidth="1"/>
    <col min="12795" max="12795" width="7.59765625" customWidth="1"/>
    <col min="12796" max="12796" width="5.3984375" customWidth="1"/>
    <col min="12797" max="12797" width="7.59765625" customWidth="1"/>
    <col min="12798" max="12798" width="5.3984375" bestFit="1" customWidth="1"/>
    <col min="12799" max="12799" width="7.59765625" customWidth="1"/>
    <col min="12800" max="12800" width="5.3984375" customWidth="1"/>
    <col min="12801" max="12801" width="7.59765625" customWidth="1"/>
    <col min="12802" max="12802" width="5.3984375" bestFit="1" customWidth="1"/>
    <col min="12803" max="12803" width="7.59765625" customWidth="1"/>
    <col min="12804" max="12804" width="5.3984375" customWidth="1"/>
    <col min="12805" max="12805" width="7.59765625" customWidth="1"/>
    <col min="12806" max="12806" width="5.3984375" bestFit="1" customWidth="1"/>
    <col min="12807" max="12807" width="7.59765625" customWidth="1"/>
    <col min="12808" max="12808" width="5.3984375" customWidth="1"/>
    <col min="12809" max="12809" width="7.59765625" customWidth="1"/>
    <col min="12810" max="12810" width="5.3984375" bestFit="1" customWidth="1"/>
    <col min="12811" max="12811" width="7.59765625" customWidth="1"/>
    <col min="12812" max="12812" width="5.3984375" customWidth="1"/>
    <col min="12813" max="12813" width="7.59765625" customWidth="1"/>
    <col min="12814" max="12814" width="5.3984375" bestFit="1" customWidth="1"/>
    <col min="12815" max="12815" width="7.59765625" customWidth="1"/>
    <col min="12816" max="12816" width="5.3984375" customWidth="1"/>
    <col min="12817" max="12817" width="7.59765625" customWidth="1"/>
    <col min="12818" max="12818" width="5.3984375" bestFit="1" customWidth="1"/>
    <col min="12819" max="12819" width="7.59765625" customWidth="1"/>
    <col min="12820" max="12820" width="5.3984375" customWidth="1"/>
    <col min="12821" max="12821" width="7.59765625" customWidth="1"/>
    <col min="12822" max="12822" width="5.3984375" bestFit="1" customWidth="1"/>
    <col min="12823" max="12823" width="7.59765625" customWidth="1"/>
    <col min="12824" max="12824" width="5.3984375" customWidth="1"/>
    <col min="12825" max="12825" width="7.59765625" customWidth="1"/>
    <col min="12826" max="12826" width="5.3984375" bestFit="1" customWidth="1"/>
    <col min="12827" max="12827" width="7.59765625" customWidth="1"/>
    <col min="12828" max="12828" width="5.3984375" customWidth="1"/>
    <col min="12829" max="12829" width="7.59765625" customWidth="1"/>
    <col min="12830" max="12830" width="5.3984375" bestFit="1" customWidth="1"/>
    <col min="12831" max="12831" width="7.59765625" customWidth="1"/>
    <col min="12832" max="12832" width="5.3984375" customWidth="1"/>
    <col min="12833" max="12833" width="7.59765625" customWidth="1"/>
    <col min="12834" max="12834" width="5.3984375" bestFit="1" customWidth="1"/>
    <col min="12835" max="12835" width="7.59765625" customWidth="1"/>
    <col min="12836" max="12836" width="5.3984375" customWidth="1"/>
    <col min="12837" max="12837" width="7.59765625" customWidth="1"/>
    <col min="12838" max="12838" width="5.3984375" bestFit="1" customWidth="1"/>
    <col min="12839" max="12839" width="7.59765625" customWidth="1"/>
    <col min="12840" max="12840" width="5.3984375" customWidth="1"/>
    <col min="12841" max="12841" width="7.59765625" customWidth="1"/>
    <col min="12842" max="12842" width="5.3984375" bestFit="1" customWidth="1"/>
    <col min="12843" max="12843" width="7.59765625" customWidth="1"/>
    <col min="12844" max="12844" width="5.3984375" customWidth="1"/>
    <col min="12845" max="12845" width="7.59765625" customWidth="1"/>
    <col min="12846" max="12846" width="5.3984375" bestFit="1" customWidth="1"/>
    <col min="12847" max="12847" width="7.59765625" customWidth="1"/>
    <col min="12848" max="12848" width="5.3984375" customWidth="1"/>
    <col min="12849" max="12849" width="7.59765625" customWidth="1"/>
    <col min="12850" max="12850" width="5.3984375" bestFit="1" customWidth="1"/>
    <col min="12851" max="12851" width="7.59765625" customWidth="1"/>
    <col min="12852" max="12852" width="5.3984375" customWidth="1"/>
    <col min="12853" max="12853" width="7.59765625" customWidth="1"/>
    <col min="12854" max="12854" width="5.3984375" bestFit="1" customWidth="1"/>
    <col min="12855" max="12855" width="7.59765625" customWidth="1"/>
    <col min="12856" max="12856" width="5.3984375" customWidth="1"/>
    <col min="12857" max="12857" width="7.59765625" customWidth="1"/>
    <col min="12858" max="12858" width="5.3984375" bestFit="1" customWidth="1"/>
    <col min="12859" max="12859" width="7.59765625" customWidth="1"/>
    <col min="12860" max="12860" width="5.3984375" customWidth="1"/>
    <col min="12861" max="12861" width="7.59765625" customWidth="1"/>
    <col min="12862" max="12862" width="5.3984375" bestFit="1" customWidth="1"/>
    <col min="12863" max="12863" width="7.59765625" customWidth="1"/>
    <col min="12864" max="12864" width="5.3984375" customWidth="1"/>
    <col min="12865" max="12865" width="7.59765625" customWidth="1"/>
    <col min="12866" max="12866" width="5.3984375" bestFit="1" customWidth="1"/>
    <col min="12867" max="12867" width="7.59765625" customWidth="1"/>
    <col min="12868" max="12868" width="5.3984375" customWidth="1"/>
    <col min="12869" max="12869" width="7.59765625" customWidth="1"/>
    <col min="12870" max="12870" width="5.3984375" bestFit="1" customWidth="1"/>
    <col min="12872" max="12873" width="5.3984375" bestFit="1" customWidth="1"/>
    <col min="12874" max="12874" width="2.09765625" bestFit="1" customWidth="1"/>
    <col min="13025" max="13025" width="4.3984375" customWidth="1"/>
    <col min="13026" max="13026" width="30.5" customWidth="1"/>
    <col min="13029" max="13029" width="10.69921875" customWidth="1"/>
    <col min="13030" max="13030" width="5.19921875" customWidth="1"/>
    <col min="13031" max="13031" width="7.59765625" customWidth="1"/>
    <col min="13032" max="13032" width="5.3984375" customWidth="1"/>
    <col min="13033" max="13033" width="7.59765625" customWidth="1"/>
    <col min="13034" max="13034" width="6" bestFit="1" customWidth="1"/>
    <col min="13035" max="13035" width="7.59765625" customWidth="1"/>
    <col min="13036" max="13036" width="5.3984375" customWidth="1"/>
    <col min="13037" max="13037" width="7.59765625" customWidth="1"/>
    <col min="13038" max="13038" width="5.3984375" bestFit="1" customWidth="1"/>
    <col min="13039" max="13039" width="7.59765625" customWidth="1"/>
    <col min="13040" max="13040" width="5.3984375" customWidth="1"/>
    <col min="13041" max="13041" width="7.59765625" customWidth="1"/>
    <col min="13042" max="13042" width="5.3984375" bestFit="1" customWidth="1"/>
    <col min="13043" max="13043" width="7.59765625" customWidth="1"/>
    <col min="13044" max="13044" width="5.3984375" customWidth="1"/>
    <col min="13045" max="13045" width="7.59765625" customWidth="1"/>
    <col min="13046" max="13046" width="5.3984375" bestFit="1" customWidth="1"/>
    <col min="13047" max="13047" width="7.59765625" customWidth="1"/>
    <col min="13048" max="13048" width="5.3984375" customWidth="1"/>
    <col min="13049" max="13049" width="7.59765625" customWidth="1"/>
    <col min="13050" max="13050" width="5.3984375" bestFit="1" customWidth="1"/>
    <col min="13051" max="13051" width="7.59765625" customWidth="1"/>
    <col min="13052" max="13052" width="5.3984375" customWidth="1"/>
    <col min="13053" max="13053" width="7.59765625" customWidth="1"/>
    <col min="13054" max="13054" width="5.3984375" bestFit="1" customWidth="1"/>
    <col min="13055" max="13055" width="7.59765625" customWidth="1"/>
    <col min="13056" max="13056" width="5.3984375" customWidth="1"/>
    <col min="13057" max="13057" width="7.59765625" customWidth="1"/>
    <col min="13058" max="13058" width="5.3984375" bestFit="1" customWidth="1"/>
    <col min="13059" max="13059" width="7.59765625" customWidth="1"/>
    <col min="13060" max="13060" width="5.3984375" customWidth="1"/>
    <col min="13061" max="13061" width="7.59765625" customWidth="1"/>
    <col min="13062" max="13062" width="5.3984375" bestFit="1" customWidth="1"/>
    <col min="13063" max="13063" width="7.59765625" customWidth="1"/>
    <col min="13064" max="13064" width="5.3984375" customWidth="1"/>
    <col min="13065" max="13065" width="7.59765625" customWidth="1"/>
    <col min="13066" max="13066" width="5.3984375" bestFit="1" customWidth="1"/>
    <col min="13067" max="13067" width="7.59765625" customWidth="1"/>
    <col min="13068" max="13068" width="5.3984375" customWidth="1"/>
    <col min="13069" max="13069" width="7.59765625" customWidth="1"/>
    <col min="13070" max="13070" width="5.3984375" bestFit="1" customWidth="1"/>
    <col min="13071" max="13071" width="7.59765625" customWidth="1"/>
    <col min="13072" max="13072" width="5.3984375" customWidth="1"/>
    <col min="13073" max="13073" width="7.59765625" customWidth="1"/>
    <col min="13074" max="13074" width="5.3984375" bestFit="1" customWidth="1"/>
    <col min="13075" max="13075" width="7.59765625" customWidth="1"/>
    <col min="13076" max="13076" width="5.3984375" customWidth="1"/>
    <col min="13077" max="13077" width="7.59765625" customWidth="1"/>
    <col min="13078" max="13078" width="5.3984375" bestFit="1" customWidth="1"/>
    <col min="13079" max="13079" width="7.59765625" customWidth="1"/>
    <col min="13080" max="13080" width="5.3984375" customWidth="1"/>
    <col min="13081" max="13081" width="7.59765625" customWidth="1"/>
    <col min="13082" max="13082" width="5.3984375" bestFit="1" customWidth="1"/>
    <col min="13083" max="13083" width="7.59765625" customWidth="1"/>
    <col min="13084" max="13084" width="5.3984375" customWidth="1"/>
    <col min="13085" max="13085" width="7.59765625" customWidth="1"/>
    <col min="13086" max="13086" width="5.3984375" bestFit="1" customWidth="1"/>
    <col min="13087" max="13087" width="7.59765625" customWidth="1"/>
    <col min="13088" max="13088" width="5.3984375" customWidth="1"/>
    <col min="13089" max="13089" width="7.59765625" customWidth="1"/>
    <col min="13090" max="13090" width="5.3984375" bestFit="1" customWidth="1"/>
    <col min="13091" max="13091" width="7.59765625" customWidth="1"/>
    <col min="13092" max="13092" width="5.3984375" customWidth="1"/>
    <col min="13093" max="13093" width="7.59765625" customWidth="1"/>
    <col min="13094" max="13094" width="5.3984375" bestFit="1" customWidth="1"/>
    <col min="13095" max="13095" width="7.59765625" customWidth="1"/>
    <col min="13096" max="13096" width="5.3984375" customWidth="1"/>
    <col min="13097" max="13097" width="7.59765625" customWidth="1"/>
    <col min="13098" max="13098" width="5.3984375" bestFit="1" customWidth="1"/>
    <col min="13099" max="13099" width="7.59765625" customWidth="1"/>
    <col min="13100" max="13100" width="5.3984375" customWidth="1"/>
    <col min="13101" max="13101" width="7.59765625" customWidth="1"/>
    <col min="13102" max="13102" width="5.3984375" bestFit="1" customWidth="1"/>
    <col min="13103" max="13103" width="7.59765625" customWidth="1"/>
    <col min="13104" max="13104" width="5.3984375" customWidth="1"/>
    <col min="13105" max="13105" width="7.59765625" customWidth="1"/>
    <col min="13106" max="13106" width="5.3984375" bestFit="1" customWidth="1"/>
    <col min="13107" max="13107" width="7.59765625" customWidth="1"/>
    <col min="13108" max="13108" width="5.3984375" customWidth="1"/>
    <col min="13109" max="13109" width="7.59765625" customWidth="1"/>
    <col min="13110" max="13110" width="5.3984375" bestFit="1" customWidth="1"/>
    <col min="13111" max="13111" width="7.59765625" customWidth="1"/>
    <col min="13112" max="13112" width="5.3984375" customWidth="1"/>
    <col min="13113" max="13113" width="7.59765625" customWidth="1"/>
    <col min="13114" max="13114" width="5.3984375" bestFit="1" customWidth="1"/>
    <col min="13115" max="13115" width="7.59765625" customWidth="1"/>
    <col min="13116" max="13116" width="5.3984375" customWidth="1"/>
    <col min="13117" max="13117" width="7.59765625" customWidth="1"/>
    <col min="13118" max="13118" width="5.3984375" bestFit="1" customWidth="1"/>
    <col min="13119" max="13119" width="7.59765625" customWidth="1"/>
    <col min="13120" max="13120" width="5.3984375" customWidth="1"/>
    <col min="13121" max="13121" width="7.59765625" customWidth="1"/>
    <col min="13122" max="13122" width="5.3984375" bestFit="1" customWidth="1"/>
    <col min="13123" max="13123" width="7.59765625" customWidth="1"/>
    <col min="13124" max="13124" width="5.3984375" customWidth="1"/>
    <col min="13125" max="13125" width="7.59765625" customWidth="1"/>
    <col min="13126" max="13126" width="5.3984375" bestFit="1" customWidth="1"/>
    <col min="13128" max="13129" width="5.3984375" bestFit="1" customWidth="1"/>
    <col min="13130" max="13130" width="2.09765625" bestFit="1" customWidth="1"/>
    <col min="13281" max="13281" width="4.3984375" customWidth="1"/>
    <col min="13282" max="13282" width="30.5" customWidth="1"/>
    <col min="13285" max="13285" width="10.69921875" customWidth="1"/>
    <col min="13286" max="13286" width="5.19921875" customWidth="1"/>
    <col min="13287" max="13287" width="7.59765625" customWidth="1"/>
    <col min="13288" max="13288" width="5.3984375" customWidth="1"/>
    <col min="13289" max="13289" width="7.59765625" customWidth="1"/>
    <col min="13290" max="13290" width="6" bestFit="1" customWidth="1"/>
    <col min="13291" max="13291" width="7.59765625" customWidth="1"/>
    <col min="13292" max="13292" width="5.3984375" customWidth="1"/>
    <col min="13293" max="13293" width="7.59765625" customWidth="1"/>
    <col min="13294" max="13294" width="5.3984375" bestFit="1" customWidth="1"/>
    <col min="13295" max="13295" width="7.59765625" customWidth="1"/>
    <col min="13296" max="13296" width="5.3984375" customWidth="1"/>
    <col min="13297" max="13297" width="7.59765625" customWidth="1"/>
    <col min="13298" max="13298" width="5.3984375" bestFit="1" customWidth="1"/>
    <col min="13299" max="13299" width="7.59765625" customWidth="1"/>
    <col min="13300" max="13300" width="5.3984375" customWidth="1"/>
    <col min="13301" max="13301" width="7.59765625" customWidth="1"/>
    <col min="13302" max="13302" width="5.3984375" bestFit="1" customWidth="1"/>
    <col min="13303" max="13303" width="7.59765625" customWidth="1"/>
    <col min="13304" max="13304" width="5.3984375" customWidth="1"/>
    <col min="13305" max="13305" width="7.59765625" customWidth="1"/>
    <col min="13306" max="13306" width="5.3984375" bestFit="1" customWidth="1"/>
    <col min="13307" max="13307" width="7.59765625" customWidth="1"/>
    <col min="13308" max="13308" width="5.3984375" customWidth="1"/>
    <col min="13309" max="13309" width="7.59765625" customWidth="1"/>
    <col min="13310" max="13310" width="5.3984375" bestFit="1" customWidth="1"/>
    <col min="13311" max="13311" width="7.59765625" customWidth="1"/>
    <col min="13312" max="13312" width="5.3984375" customWidth="1"/>
    <col min="13313" max="13313" width="7.59765625" customWidth="1"/>
    <col min="13314" max="13314" width="5.3984375" bestFit="1" customWidth="1"/>
    <col min="13315" max="13315" width="7.59765625" customWidth="1"/>
    <col min="13316" max="13316" width="5.3984375" customWidth="1"/>
    <col min="13317" max="13317" width="7.59765625" customWidth="1"/>
    <col min="13318" max="13318" width="5.3984375" bestFit="1" customWidth="1"/>
    <col min="13319" max="13319" width="7.59765625" customWidth="1"/>
    <col min="13320" max="13320" width="5.3984375" customWidth="1"/>
    <col min="13321" max="13321" width="7.59765625" customWidth="1"/>
    <col min="13322" max="13322" width="5.3984375" bestFit="1" customWidth="1"/>
    <col min="13323" max="13323" width="7.59765625" customWidth="1"/>
    <col min="13324" max="13324" width="5.3984375" customWidth="1"/>
    <col min="13325" max="13325" width="7.59765625" customWidth="1"/>
    <col min="13326" max="13326" width="5.3984375" bestFit="1" customWidth="1"/>
    <col min="13327" max="13327" width="7.59765625" customWidth="1"/>
    <col min="13328" max="13328" width="5.3984375" customWidth="1"/>
    <col min="13329" max="13329" width="7.59765625" customWidth="1"/>
    <col min="13330" max="13330" width="5.3984375" bestFit="1" customWidth="1"/>
    <col min="13331" max="13331" width="7.59765625" customWidth="1"/>
    <col min="13332" max="13332" width="5.3984375" customWidth="1"/>
    <col min="13333" max="13333" width="7.59765625" customWidth="1"/>
    <col min="13334" max="13334" width="5.3984375" bestFit="1" customWidth="1"/>
    <col min="13335" max="13335" width="7.59765625" customWidth="1"/>
    <col min="13336" max="13336" width="5.3984375" customWidth="1"/>
    <col min="13337" max="13337" width="7.59765625" customWidth="1"/>
    <col min="13338" max="13338" width="5.3984375" bestFit="1" customWidth="1"/>
    <col min="13339" max="13339" width="7.59765625" customWidth="1"/>
    <col min="13340" max="13340" width="5.3984375" customWidth="1"/>
    <col min="13341" max="13341" width="7.59765625" customWidth="1"/>
    <col min="13342" max="13342" width="5.3984375" bestFit="1" customWidth="1"/>
    <col min="13343" max="13343" width="7.59765625" customWidth="1"/>
    <col min="13344" max="13344" width="5.3984375" customWidth="1"/>
    <col min="13345" max="13345" width="7.59765625" customWidth="1"/>
    <col min="13346" max="13346" width="5.3984375" bestFit="1" customWidth="1"/>
    <col min="13347" max="13347" width="7.59765625" customWidth="1"/>
    <col min="13348" max="13348" width="5.3984375" customWidth="1"/>
    <col min="13349" max="13349" width="7.59765625" customWidth="1"/>
    <col min="13350" max="13350" width="5.3984375" bestFit="1" customWidth="1"/>
    <col min="13351" max="13351" width="7.59765625" customWidth="1"/>
    <col min="13352" max="13352" width="5.3984375" customWidth="1"/>
    <col min="13353" max="13353" width="7.59765625" customWidth="1"/>
    <col min="13354" max="13354" width="5.3984375" bestFit="1" customWidth="1"/>
    <col min="13355" max="13355" width="7.59765625" customWidth="1"/>
    <col min="13356" max="13356" width="5.3984375" customWidth="1"/>
    <col min="13357" max="13357" width="7.59765625" customWidth="1"/>
    <col min="13358" max="13358" width="5.3984375" bestFit="1" customWidth="1"/>
    <col min="13359" max="13359" width="7.59765625" customWidth="1"/>
    <col min="13360" max="13360" width="5.3984375" customWidth="1"/>
    <col min="13361" max="13361" width="7.59765625" customWidth="1"/>
    <col min="13362" max="13362" width="5.3984375" bestFit="1" customWidth="1"/>
    <col min="13363" max="13363" width="7.59765625" customWidth="1"/>
    <col min="13364" max="13364" width="5.3984375" customWidth="1"/>
    <col min="13365" max="13365" width="7.59765625" customWidth="1"/>
    <col min="13366" max="13366" width="5.3984375" bestFit="1" customWidth="1"/>
    <col min="13367" max="13367" width="7.59765625" customWidth="1"/>
    <col min="13368" max="13368" width="5.3984375" customWidth="1"/>
    <col min="13369" max="13369" width="7.59765625" customWidth="1"/>
    <col min="13370" max="13370" width="5.3984375" bestFit="1" customWidth="1"/>
    <col min="13371" max="13371" width="7.59765625" customWidth="1"/>
    <col min="13372" max="13372" width="5.3984375" customWidth="1"/>
    <col min="13373" max="13373" width="7.59765625" customWidth="1"/>
    <col min="13374" max="13374" width="5.3984375" bestFit="1" customWidth="1"/>
    <col min="13375" max="13375" width="7.59765625" customWidth="1"/>
    <col min="13376" max="13376" width="5.3984375" customWidth="1"/>
    <col min="13377" max="13377" width="7.59765625" customWidth="1"/>
    <col min="13378" max="13378" width="5.3984375" bestFit="1" customWidth="1"/>
    <col min="13379" max="13379" width="7.59765625" customWidth="1"/>
    <col min="13380" max="13380" width="5.3984375" customWidth="1"/>
    <col min="13381" max="13381" width="7.59765625" customWidth="1"/>
    <col min="13382" max="13382" width="5.3984375" bestFit="1" customWidth="1"/>
    <col min="13384" max="13385" width="5.3984375" bestFit="1" customWidth="1"/>
    <col min="13386" max="13386" width="2.09765625" bestFit="1" customWidth="1"/>
    <col min="13537" max="13537" width="4.3984375" customWidth="1"/>
    <col min="13538" max="13538" width="30.5" customWidth="1"/>
    <col min="13541" max="13541" width="10.69921875" customWidth="1"/>
    <col min="13542" max="13542" width="5.19921875" customWidth="1"/>
    <col min="13543" max="13543" width="7.59765625" customWidth="1"/>
    <col min="13544" max="13544" width="5.3984375" customWidth="1"/>
    <col min="13545" max="13545" width="7.59765625" customWidth="1"/>
    <col min="13546" max="13546" width="6" bestFit="1" customWidth="1"/>
    <col min="13547" max="13547" width="7.59765625" customWidth="1"/>
    <col min="13548" max="13548" width="5.3984375" customWidth="1"/>
    <col min="13549" max="13549" width="7.59765625" customWidth="1"/>
    <col min="13550" max="13550" width="5.3984375" bestFit="1" customWidth="1"/>
    <col min="13551" max="13551" width="7.59765625" customWidth="1"/>
    <col min="13552" max="13552" width="5.3984375" customWidth="1"/>
    <col min="13553" max="13553" width="7.59765625" customWidth="1"/>
    <col min="13554" max="13554" width="5.3984375" bestFit="1" customWidth="1"/>
    <col min="13555" max="13555" width="7.59765625" customWidth="1"/>
    <col min="13556" max="13556" width="5.3984375" customWidth="1"/>
    <col min="13557" max="13557" width="7.59765625" customWidth="1"/>
    <col min="13558" max="13558" width="5.3984375" bestFit="1" customWidth="1"/>
    <col min="13559" max="13559" width="7.59765625" customWidth="1"/>
    <col min="13560" max="13560" width="5.3984375" customWidth="1"/>
    <col min="13561" max="13561" width="7.59765625" customWidth="1"/>
    <col min="13562" max="13562" width="5.3984375" bestFit="1" customWidth="1"/>
    <col min="13563" max="13563" width="7.59765625" customWidth="1"/>
    <col min="13564" max="13564" width="5.3984375" customWidth="1"/>
    <col min="13565" max="13565" width="7.59765625" customWidth="1"/>
    <col min="13566" max="13566" width="5.3984375" bestFit="1" customWidth="1"/>
    <col min="13567" max="13567" width="7.59765625" customWidth="1"/>
    <col min="13568" max="13568" width="5.3984375" customWidth="1"/>
    <col min="13569" max="13569" width="7.59765625" customWidth="1"/>
    <col min="13570" max="13570" width="5.3984375" bestFit="1" customWidth="1"/>
    <col min="13571" max="13571" width="7.59765625" customWidth="1"/>
    <col min="13572" max="13572" width="5.3984375" customWidth="1"/>
    <col min="13573" max="13573" width="7.59765625" customWidth="1"/>
    <col min="13574" max="13574" width="5.3984375" bestFit="1" customWidth="1"/>
    <col min="13575" max="13575" width="7.59765625" customWidth="1"/>
    <col min="13576" max="13576" width="5.3984375" customWidth="1"/>
    <col min="13577" max="13577" width="7.59765625" customWidth="1"/>
    <col min="13578" max="13578" width="5.3984375" bestFit="1" customWidth="1"/>
    <col min="13579" max="13579" width="7.59765625" customWidth="1"/>
    <col min="13580" max="13580" width="5.3984375" customWidth="1"/>
    <col min="13581" max="13581" width="7.59765625" customWidth="1"/>
    <col min="13582" max="13582" width="5.3984375" bestFit="1" customWidth="1"/>
    <col min="13583" max="13583" width="7.59765625" customWidth="1"/>
    <col min="13584" max="13584" width="5.3984375" customWidth="1"/>
    <col min="13585" max="13585" width="7.59765625" customWidth="1"/>
    <col min="13586" max="13586" width="5.3984375" bestFit="1" customWidth="1"/>
    <col min="13587" max="13587" width="7.59765625" customWidth="1"/>
    <col min="13588" max="13588" width="5.3984375" customWidth="1"/>
    <col min="13589" max="13589" width="7.59765625" customWidth="1"/>
    <col min="13590" max="13590" width="5.3984375" bestFit="1" customWidth="1"/>
    <col min="13591" max="13591" width="7.59765625" customWidth="1"/>
    <col min="13592" max="13592" width="5.3984375" customWidth="1"/>
    <col min="13593" max="13593" width="7.59765625" customWidth="1"/>
    <col min="13594" max="13594" width="5.3984375" bestFit="1" customWidth="1"/>
    <col min="13595" max="13595" width="7.59765625" customWidth="1"/>
    <col min="13596" max="13596" width="5.3984375" customWidth="1"/>
    <col min="13597" max="13597" width="7.59765625" customWidth="1"/>
    <col min="13598" max="13598" width="5.3984375" bestFit="1" customWidth="1"/>
    <col min="13599" max="13599" width="7.59765625" customWidth="1"/>
    <col min="13600" max="13600" width="5.3984375" customWidth="1"/>
    <col min="13601" max="13601" width="7.59765625" customWidth="1"/>
    <col min="13602" max="13602" width="5.3984375" bestFit="1" customWidth="1"/>
    <col min="13603" max="13603" width="7.59765625" customWidth="1"/>
    <col min="13604" max="13604" width="5.3984375" customWidth="1"/>
    <col min="13605" max="13605" width="7.59765625" customWidth="1"/>
    <col min="13606" max="13606" width="5.3984375" bestFit="1" customWidth="1"/>
    <col min="13607" max="13607" width="7.59765625" customWidth="1"/>
    <col min="13608" max="13608" width="5.3984375" customWidth="1"/>
    <col min="13609" max="13609" width="7.59765625" customWidth="1"/>
    <col min="13610" max="13610" width="5.3984375" bestFit="1" customWidth="1"/>
    <col min="13611" max="13611" width="7.59765625" customWidth="1"/>
    <col min="13612" max="13612" width="5.3984375" customWidth="1"/>
    <col min="13613" max="13613" width="7.59765625" customWidth="1"/>
    <col min="13614" max="13614" width="5.3984375" bestFit="1" customWidth="1"/>
    <col min="13615" max="13615" width="7.59765625" customWidth="1"/>
    <col min="13616" max="13616" width="5.3984375" customWidth="1"/>
    <col min="13617" max="13617" width="7.59765625" customWidth="1"/>
    <col min="13618" max="13618" width="5.3984375" bestFit="1" customWidth="1"/>
    <col min="13619" max="13619" width="7.59765625" customWidth="1"/>
    <col min="13620" max="13620" width="5.3984375" customWidth="1"/>
    <col min="13621" max="13621" width="7.59765625" customWidth="1"/>
    <col min="13622" max="13622" width="5.3984375" bestFit="1" customWidth="1"/>
    <col min="13623" max="13623" width="7.59765625" customWidth="1"/>
    <col min="13624" max="13624" width="5.3984375" customWidth="1"/>
    <col min="13625" max="13625" width="7.59765625" customWidth="1"/>
    <col min="13626" max="13626" width="5.3984375" bestFit="1" customWidth="1"/>
    <col min="13627" max="13627" width="7.59765625" customWidth="1"/>
    <col min="13628" max="13628" width="5.3984375" customWidth="1"/>
    <col min="13629" max="13629" width="7.59765625" customWidth="1"/>
    <col min="13630" max="13630" width="5.3984375" bestFit="1" customWidth="1"/>
    <col min="13631" max="13631" width="7.59765625" customWidth="1"/>
    <col min="13632" max="13632" width="5.3984375" customWidth="1"/>
    <col min="13633" max="13633" width="7.59765625" customWidth="1"/>
    <col min="13634" max="13634" width="5.3984375" bestFit="1" customWidth="1"/>
    <col min="13635" max="13635" width="7.59765625" customWidth="1"/>
    <col min="13636" max="13636" width="5.3984375" customWidth="1"/>
    <col min="13637" max="13637" width="7.59765625" customWidth="1"/>
    <col min="13638" max="13638" width="5.3984375" bestFit="1" customWidth="1"/>
    <col min="13640" max="13641" width="5.3984375" bestFit="1" customWidth="1"/>
    <col min="13642" max="13642" width="2.09765625" bestFit="1" customWidth="1"/>
    <col min="13793" max="13793" width="4.3984375" customWidth="1"/>
    <col min="13794" max="13794" width="30.5" customWidth="1"/>
    <col min="13797" max="13797" width="10.69921875" customWidth="1"/>
    <col min="13798" max="13798" width="5.19921875" customWidth="1"/>
    <col min="13799" max="13799" width="7.59765625" customWidth="1"/>
    <col min="13800" max="13800" width="5.3984375" customWidth="1"/>
    <col min="13801" max="13801" width="7.59765625" customWidth="1"/>
    <col min="13802" max="13802" width="6" bestFit="1" customWidth="1"/>
    <col min="13803" max="13803" width="7.59765625" customWidth="1"/>
    <col min="13804" max="13804" width="5.3984375" customWidth="1"/>
    <col min="13805" max="13805" width="7.59765625" customWidth="1"/>
    <col min="13806" max="13806" width="5.3984375" bestFit="1" customWidth="1"/>
    <col min="13807" max="13807" width="7.59765625" customWidth="1"/>
    <col min="13808" max="13808" width="5.3984375" customWidth="1"/>
    <col min="13809" max="13809" width="7.59765625" customWidth="1"/>
    <col min="13810" max="13810" width="5.3984375" bestFit="1" customWidth="1"/>
    <col min="13811" max="13811" width="7.59765625" customWidth="1"/>
    <col min="13812" max="13812" width="5.3984375" customWidth="1"/>
    <col min="13813" max="13813" width="7.59765625" customWidth="1"/>
    <col min="13814" max="13814" width="5.3984375" bestFit="1" customWidth="1"/>
    <col min="13815" max="13815" width="7.59765625" customWidth="1"/>
    <col min="13816" max="13816" width="5.3984375" customWidth="1"/>
    <col min="13817" max="13817" width="7.59765625" customWidth="1"/>
    <col min="13818" max="13818" width="5.3984375" bestFit="1" customWidth="1"/>
    <col min="13819" max="13819" width="7.59765625" customWidth="1"/>
    <col min="13820" max="13820" width="5.3984375" customWidth="1"/>
    <col min="13821" max="13821" width="7.59765625" customWidth="1"/>
    <col min="13822" max="13822" width="5.3984375" bestFit="1" customWidth="1"/>
    <col min="13823" max="13823" width="7.59765625" customWidth="1"/>
    <col min="13824" max="13824" width="5.3984375" customWidth="1"/>
    <col min="13825" max="13825" width="7.59765625" customWidth="1"/>
    <col min="13826" max="13826" width="5.3984375" bestFit="1" customWidth="1"/>
    <col min="13827" max="13827" width="7.59765625" customWidth="1"/>
    <col min="13828" max="13828" width="5.3984375" customWidth="1"/>
    <col min="13829" max="13829" width="7.59765625" customWidth="1"/>
    <col min="13830" max="13830" width="5.3984375" bestFit="1" customWidth="1"/>
    <col min="13831" max="13831" width="7.59765625" customWidth="1"/>
    <col min="13832" max="13832" width="5.3984375" customWidth="1"/>
    <col min="13833" max="13833" width="7.59765625" customWidth="1"/>
    <col min="13834" max="13834" width="5.3984375" bestFit="1" customWidth="1"/>
    <col min="13835" max="13835" width="7.59765625" customWidth="1"/>
    <col min="13836" max="13836" width="5.3984375" customWidth="1"/>
    <col min="13837" max="13837" width="7.59765625" customWidth="1"/>
    <col min="13838" max="13838" width="5.3984375" bestFit="1" customWidth="1"/>
    <col min="13839" max="13839" width="7.59765625" customWidth="1"/>
    <col min="13840" max="13840" width="5.3984375" customWidth="1"/>
    <col min="13841" max="13841" width="7.59765625" customWidth="1"/>
    <col min="13842" max="13842" width="5.3984375" bestFit="1" customWidth="1"/>
    <col min="13843" max="13843" width="7.59765625" customWidth="1"/>
    <col min="13844" max="13844" width="5.3984375" customWidth="1"/>
    <col min="13845" max="13845" width="7.59765625" customWidth="1"/>
    <col min="13846" max="13846" width="5.3984375" bestFit="1" customWidth="1"/>
    <col min="13847" max="13847" width="7.59765625" customWidth="1"/>
    <col min="13848" max="13848" width="5.3984375" customWidth="1"/>
    <col min="13849" max="13849" width="7.59765625" customWidth="1"/>
    <col min="13850" max="13850" width="5.3984375" bestFit="1" customWidth="1"/>
    <col min="13851" max="13851" width="7.59765625" customWidth="1"/>
    <col min="13852" max="13852" width="5.3984375" customWidth="1"/>
    <col min="13853" max="13853" width="7.59765625" customWidth="1"/>
    <col min="13854" max="13854" width="5.3984375" bestFit="1" customWidth="1"/>
    <col min="13855" max="13855" width="7.59765625" customWidth="1"/>
    <col min="13856" max="13856" width="5.3984375" customWidth="1"/>
    <col min="13857" max="13857" width="7.59765625" customWidth="1"/>
    <col min="13858" max="13858" width="5.3984375" bestFit="1" customWidth="1"/>
    <col min="13859" max="13859" width="7.59765625" customWidth="1"/>
    <col min="13860" max="13860" width="5.3984375" customWidth="1"/>
    <col min="13861" max="13861" width="7.59765625" customWidth="1"/>
    <col min="13862" max="13862" width="5.3984375" bestFit="1" customWidth="1"/>
    <col min="13863" max="13863" width="7.59765625" customWidth="1"/>
    <col min="13864" max="13864" width="5.3984375" customWidth="1"/>
    <col min="13865" max="13865" width="7.59765625" customWidth="1"/>
    <col min="13866" max="13866" width="5.3984375" bestFit="1" customWidth="1"/>
    <col min="13867" max="13867" width="7.59765625" customWidth="1"/>
    <col min="13868" max="13868" width="5.3984375" customWidth="1"/>
    <col min="13869" max="13869" width="7.59765625" customWidth="1"/>
    <col min="13870" max="13870" width="5.3984375" bestFit="1" customWidth="1"/>
    <col min="13871" max="13871" width="7.59765625" customWidth="1"/>
    <col min="13872" max="13872" width="5.3984375" customWidth="1"/>
    <col min="13873" max="13873" width="7.59765625" customWidth="1"/>
    <col min="13874" max="13874" width="5.3984375" bestFit="1" customWidth="1"/>
    <col min="13875" max="13875" width="7.59765625" customWidth="1"/>
    <col min="13876" max="13876" width="5.3984375" customWidth="1"/>
    <col min="13877" max="13877" width="7.59765625" customWidth="1"/>
    <col min="13878" max="13878" width="5.3984375" bestFit="1" customWidth="1"/>
    <col min="13879" max="13879" width="7.59765625" customWidth="1"/>
    <col min="13880" max="13880" width="5.3984375" customWidth="1"/>
    <col min="13881" max="13881" width="7.59765625" customWidth="1"/>
    <col min="13882" max="13882" width="5.3984375" bestFit="1" customWidth="1"/>
    <col min="13883" max="13883" width="7.59765625" customWidth="1"/>
    <col min="13884" max="13884" width="5.3984375" customWidth="1"/>
    <col min="13885" max="13885" width="7.59765625" customWidth="1"/>
    <col min="13886" max="13886" width="5.3984375" bestFit="1" customWidth="1"/>
    <col min="13887" max="13887" width="7.59765625" customWidth="1"/>
    <col min="13888" max="13888" width="5.3984375" customWidth="1"/>
    <col min="13889" max="13889" width="7.59765625" customWidth="1"/>
    <col min="13890" max="13890" width="5.3984375" bestFit="1" customWidth="1"/>
    <col min="13891" max="13891" width="7.59765625" customWidth="1"/>
    <col min="13892" max="13892" width="5.3984375" customWidth="1"/>
    <col min="13893" max="13893" width="7.59765625" customWidth="1"/>
    <col min="13894" max="13894" width="5.3984375" bestFit="1" customWidth="1"/>
    <col min="13896" max="13897" width="5.3984375" bestFit="1" customWidth="1"/>
    <col min="13898" max="13898" width="2.09765625" bestFit="1" customWidth="1"/>
    <col min="14049" max="14049" width="4.3984375" customWidth="1"/>
    <col min="14050" max="14050" width="30.5" customWidth="1"/>
    <col min="14053" max="14053" width="10.69921875" customWidth="1"/>
    <col min="14054" max="14054" width="5.19921875" customWidth="1"/>
    <col min="14055" max="14055" width="7.59765625" customWidth="1"/>
    <col min="14056" max="14056" width="5.3984375" customWidth="1"/>
    <col min="14057" max="14057" width="7.59765625" customWidth="1"/>
    <col min="14058" max="14058" width="6" bestFit="1" customWidth="1"/>
    <col min="14059" max="14059" width="7.59765625" customWidth="1"/>
    <col min="14060" max="14060" width="5.3984375" customWidth="1"/>
    <col min="14061" max="14061" width="7.59765625" customWidth="1"/>
    <col min="14062" max="14062" width="5.3984375" bestFit="1" customWidth="1"/>
    <col min="14063" max="14063" width="7.59765625" customWidth="1"/>
    <col min="14064" max="14064" width="5.3984375" customWidth="1"/>
    <col min="14065" max="14065" width="7.59765625" customWidth="1"/>
    <col min="14066" max="14066" width="5.3984375" bestFit="1" customWidth="1"/>
    <col min="14067" max="14067" width="7.59765625" customWidth="1"/>
    <col min="14068" max="14068" width="5.3984375" customWidth="1"/>
    <col min="14069" max="14069" width="7.59765625" customWidth="1"/>
    <col min="14070" max="14070" width="5.3984375" bestFit="1" customWidth="1"/>
    <col min="14071" max="14071" width="7.59765625" customWidth="1"/>
    <col min="14072" max="14072" width="5.3984375" customWidth="1"/>
    <col min="14073" max="14073" width="7.59765625" customWidth="1"/>
    <col min="14074" max="14074" width="5.3984375" bestFit="1" customWidth="1"/>
    <col min="14075" max="14075" width="7.59765625" customWidth="1"/>
    <col min="14076" max="14076" width="5.3984375" customWidth="1"/>
    <col min="14077" max="14077" width="7.59765625" customWidth="1"/>
    <col min="14078" max="14078" width="5.3984375" bestFit="1" customWidth="1"/>
    <col min="14079" max="14079" width="7.59765625" customWidth="1"/>
    <col min="14080" max="14080" width="5.3984375" customWidth="1"/>
    <col min="14081" max="14081" width="7.59765625" customWidth="1"/>
    <col min="14082" max="14082" width="5.3984375" bestFit="1" customWidth="1"/>
    <col min="14083" max="14083" width="7.59765625" customWidth="1"/>
    <col min="14084" max="14084" width="5.3984375" customWidth="1"/>
    <col min="14085" max="14085" width="7.59765625" customWidth="1"/>
    <col min="14086" max="14086" width="5.3984375" bestFit="1" customWidth="1"/>
    <col min="14087" max="14087" width="7.59765625" customWidth="1"/>
    <col min="14088" max="14088" width="5.3984375" customWidth="1"/>
    <col min="14089" max="14089" width="7.59765625" customWidth="1"/>
    <col min="14090" max="14090" width="5.3984375" bestFit="1" customWidth="1"/>
    <col min="14091" max="14091" width="7.59765625" customWidth="1"/>
    <col min="14092" max="14092" width="5.3984375" customWidth="1"/>
    <col min="14093" max="14093" width="7.59765625" customWidth="1"/>
    <col min="14094" max="14094" width="5.3984375" bestFit="1" customWidth="1"/>
    <col min="14095" max="14095" width="7.59765625" customWidth="1"/>
    <col min="14096" max="14096" width="5.3984375" customWidth="1"/>
    <col min="14097" max="14097" width="7.59765625" customWidth="1"/>
    <col min="14098" max="14098" width="5.3984375" bestFit="1" customWidth="1"/>
    <col min="14099" max="14099" width="7.59765625" customWidth="1"/>
    <col min="14100" max="14100" width="5.3984375" customWidth="1"/>
    <col min="14101" max="14101" width="7.59765625" customWidth="1"/>
    <col min="14102" max="14102" width="5.3984375" bestFit="1" customWidth="1"/>
    <col min="14103" max="14103" width="7.59765625" customWidth="1"/>
    <col min="14104" max="14104" width="5.3984375" customWidth="1"/>
    <col min="14105" max="14105" width="7.59765625" customWidth="1"/>
    <col min="14106" max="14106" width="5.3984375" bestFit="1" customWidth="1"/>
    <col min="14107" max="14107" width="7.59765625" customWidth="1"/>
    <col min="14108" max="14108" width="5.3984375" customWidth="1"/>
    <col min="14109" max="14109" width="7.59765625" customWidth="1"/>
    <col min="14110" max="14110" width="5.3984375" bestFit="1" customWidth="1"/>
    <col min="14111" max="14111" width="7.59765625" customWidth="1"/>
    <col min="14112" max="14112" width="5.3984375" customWidth="1"/>
    <col min="14113" max="14113" width="7.59765625" customWidth="1"/>
    <col min="14114" max="14114" width="5.3984375" bestFit="1" customWidth="1"/>
    <col min="14115" max="14115" width="7.59765625" customWidth="1"/>
    <col min="14116" max="14116" width="5.3984375" customWidth="1"/>
    <col min="14117" max="14117" width="7.59765625" customWidth="1"/>
    <col min="14118" max="14118" width="5.3984375" bestFit="1" customWidth="1"/>
    <col min="14119" max="14119" width="7.59765625" customWidth="1"/>
    <col min="14120" max="14120" width="5.3984375" customWidth="1"/>
    <col min="14121" max="14121" width="7.59765625" customWidth="1"/>
    <col min="14122" max="14122" width="5.3984375" bestFit="1" customWidth="1"/>
    <col min="14123" max="14123" width="7.59765625" customWidth="1"/>
    <col min="14124" max="14124" width="5.3984375" customWidth="1"/>
    <col min="14125" max="14125" width="7.59765625" customWidth="1"/>
    <col min="14126" max="14126" width="5.3984375" bestFit="1" customWidth="1"/>
    <col min="14127" max="14127" width="7.59765625" customWidth="1"/>
    <col min="14128" max="14128" width="5.3984375" customWidth="1"/>
    <col min="14129" max="14129" width="7.59765625" customWidth="1"/>
    <col min="14130" max="14130" width="5.3984375" bestFit="1" customWidth="1"/>
    <col min="14131" max="14131" width="7.59765625" customWidth="1"/>
    <col min="14132" max="14132" width="5.3984375" customWidth="1"/>
    <col min="14133" max="14133" width="7.59765625" customWidth="1"/>
    <col min="14134" max="14134" width="5.3984375" bestFit="1" customWidth="1"/>
    <col min="14135" max="14135" width="7.59765625" customWidth="1"/>
    <col min="14136" max="14136" width="5.3984375" customWidth="1"/>
    <col min="14137" max="14137" width="7.59765625" customWidth="1"/>
    <col min="14138" max="14138" width="5.3984375" bestFit="1" customWidth="1"/>
    <col min="14139" max="14139" width="7.59765625" customWidth="1"/>
    <col min="14140" max="14140" width="5.3984375" customWidth="1"/>
    <col min="14141" max="14141" width="7.59765625" customWidth="1"/>
    <col min="14142" max="14142" width="5.3984375" bestFit="1" customWidth="1"/>
    <col min="14143" max="14143" width="7.59765625" customWidth="1"/>
    <col min="14144" max="14144" width="5.3984375" customWidth="1"/>
    <col min="14145" max="14145" width="7.59765625" customWidth="1"/>
    <col min="14146" max="14146" width="5.3984375" bestFit="1" customWidth="1"/>
    <col min="14147" max="14147" width="7.59765625" customWidth="1"/>
    <col min="14148" max="14148" width="5.3984375" customWidth="1"/>
    <col min="14149" max="14149" width="7.59765625" customWidth="1"/>
    <col min="14150" max="14150" width="5.3984375" bestFit="1" customWidth="1"/>
    <col min="14152" max="14153" width="5.3984375" bestFit="1" customWidth="1"/>
    <col min="14154" max="14154" width="2.09765625" bestFit="1" customWidth="1"/>
    <col min="14305" max="14305" width="4.3984375" customWidth="1"/>
    <col min="14306" max="14306" width="30.5" customWidth="1"/>
    <col min="14309" max="14309" width="10.69921875" customWidth="1"/>
    <col min="14310" max="14310" width="5.19921875" customWidth="1"/>
    <col min="14311" max="14311" width="7.59765625" customWidth="1"/>
    <col min="14312" max="14312" width="5.3984375" customWidth="1"/>
    <col min="14313" max="14313" width="7.59765625" customWidth="1"/>
    <col min="14314" max="14314" width="6" bestFit="1" customWidth="1"/>
    <col min="14315" max="14315" width="7.59765625" customWidth="1"/>
    <col min="14316" max="14316" width="5.3984375" customWidth="1"/>
    <col min="14317" max="14317" width="7.59765625" customWidth="1"/>
    <col min="14318" max="14318" width="5.3984375" bestFit="1" customWidth="1"/>
    <col min="14319" max="14319" width="7.59765625" customWidth="1"/>
    <col min="14320" max="14320" width="5.3984375" customWidth="1"/>
    <col min="14321" max="14321" width="7.59765625" customWidth="1"/>
    <col min="14322" max="14322" width="5.3984375" bestFit="1" customWidth="1"/>
    <col min="14323" max="14323" width="7.59765625" customWidth="1"/>
    <col min="14324" max="14324" width="5.3984375" customWidth="1"/>
    <col min="14325" max="14325" width="7.59765625" customWidth="1"/>
    <col min="14326" max="14326" width="5.3984375" bestFit="1" customWidth="1"/>
    <col min="14327" max="14327" width="7.59765625" customWidth="1"/>
    <col min="14328" max="14328" width="5.3984375" customWidth="1"/>
    <col min="14329" max="14329" width="7.59765625" customWidth="1"/>
    <col min="14330" max="14330" width="5.3984375" bestFit="1" customWidth="1"/>
    <col min="14331" max="14331" width="7.59765625" customWidth="1"/>
    <col min="14332" max="14332" width="5.3984375" customWidth="1"/>
    <col min="14333" max="14333" width="7.59765625" customWidth="1"/>
    <col min="14334" max="14334" width="5.3984375" bestFit="1" customWidth="1"/>
    <col min="14335" max="14335" width="7.59765625" customWidth="1"/>
    <col min="14336" max="14336" width="5.3984375" customWidth="1"/>
    <col min="14337" max="14337" width="7.59765625" customWidth="1"/>
    <col min="14338" max="14338" width="5.3984375" bestFit="1" customWidth="1"/>
    <col min="14339" max="14339" width="7.59765625" customWidth="1"/>
    <col min="14340" max="14340" width="5.3984375" customWidth="1"/>
    <col min="14341" max="14341" width="7.59765625" customWidth="1"/>
    <col min="14342" max="14342" width="5.3984375" bestFit="1" customWidth="1"/>
    <col min="14343" max="14343" width="7.59765625" customWidth="1"/>
    <col min="14344" max="14344" width="5.3984375" customWidth="1"/>
    <col min="14345" max="14345" width="7.59765625" customWidth="1"/>
    <col min="14346" max="14346" width="5.3984375" bestFit="1" customWidth="1"/>
    <col min="14347" max="14347" width="7.59765625" customWidth="1"/>
    <col min="14348" max="14348" width="5.3984375" customWidth="1"/>
    <col min="14349" max="14349" width="7.59765625" customWidth="1"/>
    <col min="14350" max="14350" width="5.3984375" bestFit="1" customWidth="1"/>
    <col min="14351" max="14351" width="7.59765625" customWidth="1"/>
    <col min="14352" max="14352" width="5.3984375" customWidth="1"/>
    <col min="14353" max="14353" width="7.59765625" customWidth="1"/>
    <col min="14354" max="14354" width="5.3984375" bestFit="1" customWidth="1"/>
    <col min="14355" max="14355" width="7.59765625" customWidth="1"/>
    <col min="14356" max="14356" width="5.3984375" customWidth="1"/>
    <col min="14357" max="14357" width="7.59765625" customWidth="1"/>
    <col min="14358" max="14358" width="5.3984375" bestFit="1" customWidth="1"/>
    <col min="14359" max="14359" width="7.59765625" customWidth="1"/>
    <col min="14360" max="14360" width="5.3984375" customWidth="1"/>
    <col min="14361" max="14361" width="7.59765625" customWidth="1"/>
    <col min="14362" max="14362" width="5.3984375" bestFit="1" customWidth="1"/>
    <col min="14363" max="14363" width="7.59765625" customWidth="1"/>
    <col min="14364" max="14364" width="5.3984375" customWidth="1"/>
    <col min="14365" max="14365" width="7.59765625" customWidth="1"/>
    <col min="14366" max="14366" width="5.3984375" bestFit="1" customWidth="1"/>
    <col min="14367" max="14367" width="7.59765625" customWidth="1"/>
    <col min="14368" max="14368" width="5.3984375" customWidth="1"/>
    <col min="14369" max="14369" width="7.59765625" customWidth="1"/>
    <col min="14370" max="14370" width="5.3984375" bestFit="1" customWidth="1"/>
    <col min="14371" max="14371" width="7.59765625" customWidth="1"/>
    <col min="14372" max="14372" width="5.3984375" customWidth="1"/>
    <col min="14373" max="14373" width="7.59765625" customWidth="1"/>
    <col min="14374" max="14374" width="5.3984375" bestFit="1" customWidth="1"/>
    <col min="14375" max="14375" width="7.59765625" customWidth="1"/>
    <col min="14376" max="14376" width="5.3984375" customWidth="1"/>
    <col min="14377" max="14377" width="7.59765625" customWidth="1"/>
    <col min="14378" max="14378" width="5.3984375" bestFit="1" customWidth="1"/>
    <col min="14379" max="14379" width="7.59765625" customWidth="1"/>
    <col min="14380" max="14380" width="5.3984375" customWidth="1"/>
    <col min="14381" max="14381" width="7.59765625" customWidth="1"/>
    <col min="14382" max="14382" width="5.3984375" bestFit="1" customWidth="1"/>
    <col min="14383" max="14383" width="7.59765625" customWidth="1"/>
    <col min="14384" max="14384" width="5.3984375" customWidth="1"/>
    <col min="14385" max="14385" width="7.59765625" customWidth="1"/>
    <col min="14386" max="14386" width="5.3984375" bestFit="1" customWidth="1"/>
    <col min="14387" max="14387" width="7.59765625" customWidth="1"/>
    <col min="14388" max="14388" width="5.3984375" customWidth="1"/>
    <col min="14389" max="14389" width="7.59765625" customWidth="1"/>
    <col min="14390" max="14390" width="5.3984375" bestFit="1" customWidth="1"/>
    <col min="14391" max="14391" width="7.59765625" customWidth="1"/>
    <col min="14392" max="14392" width="5.3984375" customWidth="1"/>
    <col min="14393" max="14393" width="7.59765625" customWidth="1"/>
    <col min="14394" max="14394" width="5.3984375" bestFit="1" customWidth="1"/>
    <col min="14395" max="14395" width="7.59765625" customWidth="1"/>
    <col min="14396" max="14396" width="5.3984375" customWidth="1"/>
    <col min="14397" max="14397" width="7.59765625" customWidth="1"/>
    <col min="14398" max="14398" width="5.3984375" bestFit="1" customWidth="1"/>
    <col min="14399" max="14399" width="7.59765625" customWidth="1"/>
    <col min="14400" max="14400" width="5.3984375" customWidth="1"/>
    <col min="14401" max="14401" width="7.59765625" customWidth="1"/>
    <col min="14402" max="14402" width="5.3984375" bestFit="1" customWidth="1"/>
    <col min="14403" max="14403" width="7.59765625" customWidth="1"/>
    <col min="14404" max="14404" width="5.3984375" customWidth="1"/>
    <col min="14405" max="14405" width="7.59765625" customWidth="1"/>
    <col min="14406" max="14406" width="5.3984375" bestFit="1" customWidth="1"/>
    <col min="14408" max="14409" width="5.3984375" bestFit="1" customWidth="1"/>
    <col min="14410" max="14410" width="2.09765625" bestFit="1" customWidth="1"/>
    <col min="14561" max="14561" width="4.3984375" customWidth="1"/>
    <col min="14562" max="14562" width="30.5" customWidth="1"/>
    <col min="14565" max="14565" width="10.69921875" customWidth="1"/>
    <col min="14566" max="14566" width="5.19921875" customWidth="1"/>
    <col min="14567" max="14567" width="7.59765625" customWidth="1"/>
    <col min="14568" max="14568" width="5.3984375" customWidth="1"/>
    <col min="14569" max="14569" width="7.59765625" customWidth="1"/>
    <col min="14570" max="14570" width="6" bestFit="1" customWidth="1"/>
    <col min="14571" max="14571" width="7.59765625" customWidth="1"/>
    <col min="14572" max="14572" width="5.3984375" customWidth="1"/>
    <col min="14573" max="14573" width="7.59765625" customWidth="1"/>
    <col min="14574" max="14574" width="5.3984375" bestFit="1" customWidth="1"/>
    <col min="14575" max="14575" width="7.59765625" customWidth="1"/>
    <col min="14576" max="14576" width="5.3984375" customWidth="1"/>
    <col min="14577" max="14577" width="7.59765625" customWidth="1"/>
    <col min="14578" max="14578" width="5.3984375" bestFit="1" customWidth="1"/>
    <col min="14579" max="14579" width="7.59765625" customWidth="1"/>
    <col min="14580" max="14580" width="5.3984375" customWidth="1"/>
    <col min="14581" max="14581" width="7.59765625" customWidth="1"/>
    <col min="14582" max="14582" width="5.3984375" bestFit="1" customWidth="1"/>
    <col min="14583" max="14583" width="7.59765625" customWidth="1"/>
    <col min="14584" max="14584" width="5.3984375" customWidth="1"/>
    <col min="14585" max="14585" width="7.59765625" customWidth="1"/>
    <col min="14586" max="14586" width="5.3984375" bestFit="1" customWidth="1"/>
    <col min="14587" max="14587" width="7.59765625" customWidth="1"/>
    <col min="14588" max="14588" width="5.3984375" customWidth="1"/>
    <col min="14589" max="14589" width="7.59765625" customWidth="1"/>
    <col min="14590" max="14590" width="5.3984375" bestFit="1" customWidth="1"/>
    <col min="14591" max="14591" width="7.59765625" customWidth="1"/>
    <col min="14592" max="14592" width="5.3984375" customWidth="1"/>
    <col min="14593" max="14593" width="7.59765625" customWidth="1"/>
    <col min="14594" max="14594" width="5.3984375" bestFit="1" customWidth="1"/>
    <col min="14595" max="14595" width="7.59765625" customWidth="1"/>
    <col min="14596" max="14596" width="5.3984375" customWidth="1"/>
    <col min="14597" max="14597" width="7.59765625" customWidth="1"/>
    <col min="14598" max="14598" width="5.3984375" bestFit="1" customWidth="1"/>
    <col min="14599" max="14599" width="7.59765625" customWidth="1"/>
    <col min="14600" max="14600" width="5.3984375" customWidth="1"/>
    <col min="14601" max="14601" width="7.59765625" customWidth="1"/>
    <col min="14602" max="14602" width="5.3984375" bestFit="1" customWidth="1"/>
    <col min="14603" max="14603" width="7.59765625" customWidth="1"/>
    <col min="14604" max="14604" width="5.3984375" customWidth="1"/>
    <col min="14605" max="14605" width="7.59765625" customWidth="1"/>
    <col min="14606" max="14606" width="5.3984375" bestFit="1" customWidth="1"/>
    <col min="14607" max="14607" width="7.59765625" customWidth="1"/>
    <col min="14608" max="14608" width="5.3984375" customWidth="1"/>
    <col min="14609" max="14609" width="7.59765625" customWidth="1"/>
    <col min="14610" max="14610" width="5.3984375" bestFit="1" customWidth="1"/>
    <col min="14611" max="14611" width="7.59765625" customWidth="1"/>
    <col min="14612" max="14612" width="5.3984375" customWidth="1"/>
    <col min="14613" max="14613" width="7.59765625" customWidth="1"/>
    <col min="14614" max="14614" width="5.3984375" bestFit="1" customWidth="1"/>
    <col min="14615" max="14615" width="7.59765625" customWidth="1"/>
    <col min="14616" max="14616" width="5.3984375" customWidth="1"/>
    <col min="14617" max="14617" width="7.59765625" customWidth="1"/>
    <col min="14618" max="14618" width="5.3984375" bestFit="1" customWidth="1"/>
    <col min="14619" max="14619" width="7.59765625" customWidth="1"/>
    <col min="14620" max="14620" width="5.3984375" customWidth="1"/>
    <col min="14621" max="14621" width="7.59765625" customWidth="1"/>
    <col min="14622" max="14622" width="5.3984375" bestFit="1" customWidth="1"/>
    <col min="14623" max="14623" width="7.59765625" customWidth="1"/>
    <col min="14624" max="14624" width="5.3984375" customWidth="1"/>
    <col min="14625" max="14625" width="7.59765625" customWidth="1"/>
    <col min="14626" max="14626" width="5.3984375" bestFit="1" customWidth="1"/>
    <col min="14627" max="14627" width="7.59765625" customWidth="1"/>
    <col min="14628" max="14628" width="5.3984375" customWidth="1"/>
    <col min="14629" max="14629" width="7.59765625" customWidth="1"/>
    <col min="14630" max="14630" width="5.3984375" bestFit="1" customWidth="1"/>
    <col min="14631" max="14631" width="7.59765625" customWidth="1"/>
    <col min="14632" max="14632" width="5.3984375" customWidth="1"/>
    <col min="14633" max="14633" width="7.59765625" customWidth="1"/>
    <col min="14634" max="14634" width="5.3984375" bestFit="1" customWidth="1"/>
    <col min="14635" max="14635" width="7.59765625" customWidth="1"/>
    <col min="14636" max="14636" width="5.3984375" customWidth="1"/>
    <col min="14637" max="14637" width="7.59765625" customWidth="1"/>
    <col min="14638" max="14638" width="5.3984375" bestFit="1" customWidth="1"/>
    <col min="14639" max="14639" width="7.59765625" customWidth="1"/>
    <col min="14640" max="14640" width="5.3984375" customWidth="1"/>
    <col min="14641" max="14641" width="7.59765625" customWidth="1"/>
    <col min="14642" max="14642" width="5.3984375" bestFit="1" customWidth="1"/>
    <col min="14643" max="14643" width="7.59765625" customWidth="1"/>
    <col min="14644" max="14644" width="5.3984375" customWidth="1"/>
    <col min="14645" max="14645" width="7.59765625" customWidth="1"/>
    <col min="14646" max="14646" width="5.3984375" bestFit="1" customWidth="1"/>
    <col min="14647" max="14647" width="7.59765625" customWidth="1"/>
    <col min="14648" max="14648" width="5.3984375" customWidth="1"/>
    <col min="14649" max="14649" width="7.59765625" customWidth="1"/>
    <col min="14650" max="14650" width="5.3984375" bestFit="1" customWidth="1"/>
    <col min="14651" max="14651" width="7.59765625" customWidth="1"/>
    <col min="14652" max="14652" width="5.3984375" customWidth="1"/>
    <col min="14653" max="14653" width="7.59765625" customWidth="1"/>
    <col min="14654" max="14654" width="5.3984375" bestFit="1" customWidth="1"/>
    <col min="14655" max="14655" width="7.59765625" customWidth="1"/>
    <col min="14656" max="14656" width="5.3984375" customWidth="1"/>
    <col min="14657" max="14657" width="7.59765625" customWidth="1"/>
    <col min="14658" max="14658" width="5.3984375" bestFit="1" customWidth="1"/>
    <col min="14659" max="14659" width="7.59765625" customWidth="1"/>
    <col min="14660" max="14660" width="5.3984375" customWidth="1"/>
    <col min="14661" max="14661" width="7.59765625" customWidth="1"/>
    <col min="14662" max="14662" width="5.3984375" bestFit="1" customWidth="1"/>
    <col min="14664" max="14665" width="5.3984375" bestFit="1" customWidth="1"/>
    <col min="14666" max="14666" width="2.09765625" bestFit="1" customWidth="1"/>
    <col min="14817" max="14817" width="4.3984375" customWidth="1"/>
    <col min="14818" max="14818" width="30.5" customWidth="1"/>
    <col min="14821" max="14821" width="10.69921875" customWidth="1"/>
    <col min="14822" max="14822" width="5.19921875" customWidth="1"/>
    <col min="14823" max="14823" width="7.59765625" customWidth="1"/>
    <col min="14824" max="14824" width="5.3984375" customWidth="1"/>
    <col min="14825" max="14825" width="7.59765625" customWidth="1"/>
    <col min="14826" max="14826" width="6" bestFit="1" customWidth="1"/>
    <col min="14827" max="14827" width="7.59765625" customWidth="1"/>
    <col min="14828" max="14828" width="5.3984375" customWidth="1"/>
    <col min="14829" max="14829" width="7.59765625" customWidth="1"/>
    <col min="14830" max="14830" width="5.3984375" bestFit="1" customWidth="1"/>
    <col min="14831" max="14831" width="7.59765625" customWidth="1"/>
    <col min="14832" max="14832" width="5.3984375" customWidth="1"/>
    <col min="14833" max="14833" width="7.59765625" customWidth="1"/>
    <col min="14834" max="14834" width="5.3984375" bestFit="1" customWidth="1"/>
    <col min="14835" max="14835" width="7.59765625" customWidth="1"/>
    <col min="14836" max="14836" width="5.3984375" customWidth="1"/>
    <col min="14837" max="14837" width="7.59765625" customWidth="1"/>
    <col min="14838" max="14838" width="5.3984375" bestFit="1" customWidth="1"/>
    <col min="14839" max="14839" width="7.59765625" customWidth="1"/>
    <col min="14840" max="14840" width="5.3984375" customWidth="1"/>
    <col min="14841" max="14841" width="7.59765625" customWidth="1"/>
    <col min="14842" max="14842" width="5.3984375" bestFit="1" customWidth="1"/>
    <col min="14843" max="14843" width="7.59765625" customWidth="1"/>
    <col min="14844" max="14844" width="5.3984375" customWidth="1"/>
    <col min="14845" max="14845" width="7.59765625" customWidth="1"/>
    <col min="14846" max="14846" width="5.3984375" bestFit="1" customWidth="1"/>
    <col min="14847" max="14847" width="7.59765625" customWidth="1"/>
    <col min="14848" max="14848" width="5.3984375" customWidth="1"/>
    <col min="14849" max="14849" width="7.59765625" customWidth="1"/>
    <col min="14850" max="14850" width="5.3984375" bestFit="1" customWidth="1"/>
    <col min="14851" max="14851" width="7.59765625" customWidth="1"/>
    <col min="14852" max="14852" width="5.3984375" customWidth="1"/>
    <col min="14853" max="14853" width="7.59765625" customWidth="1"/>
    <col min="14854" max="14854" width="5.3984375" bestFit="1" customWidth="1"/>
    <col min="14855" max="14855" width="7.59765625" customWidth="1"/>
    <col min="14856" max="14856" width="5.3984375" customWidth="1"/>
    <col min="14857" max="14857" width="7.59765625" customWidth="1"/>
    <col min="14858" max="14858" width="5.3984375" bestFit="1" customWidth="1"/>
    <col min="14859" max="14859" width="7.59765625" customWidth="1"/>
    <col min="14860" max="14860" width="5.3984375" customWidth="1"/>
    <col min="14861" max="14861" width="7.59765625" customWidth="1"/>
    <col min="14862" max="14862" width="5.3984375" bestFit="1" customWidth="1"/>
    <col min="14863" max="14863" width="7.59765625" customWidth="1"/>
    <col min="14864" max="14864" width="5.3984375" customWidth="1"/>
    <col min="14865" max="14865" width="7.59765625" customWidth="1"/>
    <col min="14866" max="14866" width="5.3984375" bestFit="1" customWidth="1"/>
    <col min="14867" max="14867" width="7.59765625" customWidth="1"/>
    <col min="14868" max="14868" width="5.3984375" customWidth="1"/>
    <col min="14869" max="14869" width="7.59765625" customWidth="1"/>
    <col min="14870" max="14870" width="5.3984375" bestFit="1" customWidth="1"/>
    <col min="14871" max="14871" width="7.59765625" customWidth="1"/>
    <col min="14872" max="14872" width="5.3984375" customWidth="1"/>
    <col min="14873" max="14873" width="7.59765625" customWidth="1"/>
    <col min="14874" max="14874" width="5.3984375" bestFit="1" customWidth="1"/>
    <col min="14875" max="14875" width="7.59765625" customWidth="1"/>
    <col min="14876" max="14876" width="5.3984375" customWidth="1"/>
    <col min="14877" max="14877" width="7.59765625" customWidth="1"/>
    <col min="14878" max="14878" width="5.3984375" bestFit="1" customWidth="1"/>
    <col min="14879" max="14879" width="7.59765625" customWidth="1"/>
    <col min="14880" max="14880" width="5.3984375" customWidth="1"/>
    <col min="14881" max="14881" width="7.59765625" customWidth="1"/>
    <col min="14882" max="14882" width="5.3984375" bestFit="1" customWidth="1"/>
    <col min="14883" max="14883" width="7.59765625" customWidth="1"/>
    <col min="14884" max="14884" width="5.3984375" customWidth="1"/>
    <col min="14885" max="14885" width="7.59765625" customWidth="1"/>
    <col min="14886" max="14886" width="5.3984375" bestFit="1" customWidth="1"/>
    <col min="14887" max="14887" width="7.59765625" customWidth="1"/>
    <col min="14888" max="14888" width="5.3984375" customWidth="1"/>
    <col min="14889" max="14889" width="7.59765625" customWidth="1"/>
    <col min="14890" max="14890" width="5.3984375" bestFit="1" customWidth="1"/>
    <col min="14891" max="14891" width="7.59765625" customWidth="1"/>
    <col min="14892" max="14892" width="5.3984375" customWidth="1"/>
    <col min="14893" max="14893" width="7.59765625" customWidth="1"/>
    <col min="14894" max="14894" width="5.3984375" bestFit="1" customWidth="1"/>
    <col min="14895" max="14895" width="7.59765625" customWidth="1"/>
    <col min="14896" max="14896" width="5.3984375" customWidth="1"/>
    <col min="14897" max="14897" width="7.59765625" customWidth="1"/>
    <col min="14898" max="14898" width="5.3984375" bestFit="1" customWidth="1"/>
    <col min="14899" max="14899" width="7.59765625" customWidth="1"/>
    <col min="14900" max="14900" width="5.3984375" customWidth="1"/>
    <col min="14901" max="14901" width="7.59765625" customWidth="1"/>
    <col min="14902" max="14902" width="5.3984375" bestFit="1" customWidth="1"/>
    <col min="14903" max="14903" width="7.59765625" customWidth="1"/>
    <col min="14904" max="14904" width="5.3984375" customWidth="1"/>
    <col min="14905" max="14905" width="7.59765625" customWidth="1"/>
    <col min="14906" max="14906" width="5.3984375" bestFit="1" customWidth="1"/>
    <col min="14907" max="14907" width="7.59765625" customWidth="1"/>
    <col min="14908" max="14908" width="5.3984375" customWidth="1"/>
    <col min="14909" max="14909" width="7.59765625" customWidth="1"/>
    <col min="14910" max="14910" width="5.3984375" bestFit="1" customWidth="1"/>
    <col min="14911" max="14911" width="7.59765625" customWidth="1"/>
    <col min="14912" max="14912" width="5.3984375" customWidth="1"/>
    <col min="14913" max="14913" width="7.59765625" customWidth="1"/>
    <col min="14914" max="14914" width="5.3984375" bestFit="1" customWidth="1"/>
    <col min="14915" max="14915" width="7.59765625" customWidth="1"/>
    <col min="14916" max="14916" width="5.3984375" customWidth="1"/>
    <col min="14917" max="14917" width="7.59765625" customWidth="1"/>
    <col min="14918" max="14918" width="5.3984375" bestFit="1" customWidth="1"/>
    <col min="14920" max="14921" width="5.3984375" bestFit="1" customWidth="1"/>
    <col min="14922" max="14922" width="2.09765625" bestFit="1" customWidth="1"/>
    <col min="15073" max="15073" width="4.3984375" customWidth="1"/>
    <col min="15074" max="15074" width="30.5" customWidth="1"/>
    <col min="15077" max="15077" width="10.69921875" customWidth="1"/>
    <col min="15078" max="15078" width="5.19921875" customWidth="1"/>
    <col min="15079" max="15079" width="7.59765625" customWidth="1"/>
    <col min="15080" max="15080" width="5.3984375" customWidth="1"/>
    <col min="15081" max="15081" width="7.59765625" customWidth="1"/>
    <col min="15082" max="15082" width="6" bestFit="1" customWidth="1"/>
    <col min="15083" max="15083" width="7.59765625" customWidth="1"/>
    <col min="15084" max="15084" width="5.3984375" customWidth="1"/>
    <col min="15085" max="15085" width="7.59765625" customWidth="1"/>
    <col min="15086" max="15086" width="5.3984375" bestFit="1" customWidth="1"/>
    <col min="15087" max="15087" width="7.59765625" customWidth="1"/>
    <col min="15088" max="15088" width="5.3984375" customWidth="1"/>
    <col min="15089" max="15089" width="7.59765625" customWidth="1"/>
    <col min="15090" max="15090" width="5.3984375" bestFit="1" customWidth="1"/>
    <col min="15091" max="15091" width="7.59765625" customWidth="1"/>
    <col min="15092" max="15092" width="5.3984375" customWidth="1"/>
    <col min="15093" max="15093" width="7.59765625" customWidth="1"/>
    <col min="15094" max="15094" width="5.3984375" bestFit="1" customWidth="1"/>
    <col min="15095" max="15095" width="7.59765625" customWidth="1"/>
    <col min="15096" max="15096" width="5.3984375" customWidth="1"/>
    <col min="15097" max="15097" width="7.59765625" customWidth="1"/>
    <col min="15098" max="15098" width="5.3984375" bestFit="1" customWidth="1"/>
    <col min="15099" max="15099" width="7.59765625" customWidth="1"/>
    <col min="15100" max="15100" width="5.3984375" customWidth="1"/>
    <col min="15101" max="15101" width="7.59765625" customWidth="1"/>
    <col min="15102" max="15102" width="5.3984375" bestFit="1" customWidth="1"/>
    <col min="15103" max="15103" width="7.59765625" customWidth="1"/>
    <col min="15104" max="15104" width="5.3984375" customWidth="1"/>
    <col min="15105" max="15105" width="7.59765625" customWidth="1"/>
    <col min="15106" max="15106" width="5.3984375" bestFit="1" customWidth="1"/>
    <col min="15107" max="15107" width="7.59765625" customWidth="1"/>
    <col min="15108" max="15108" width="5.3984375" customWidth="1"/>
    <col min="15109" max="15109" width="7.59765625" customWidth="1"/>
    <col min="15110" max="15110" width="5.3984375" bestFit="1" customWidth="1"/>
    <col min="15111" max="15111" width="7.59765625" customWidth="1"/>
    <col min="15112" max="15112" width="5.3984375" customWidth="1"/>
    <col min="15113" max="15113" width="7.59765625" customWidth="1"/>
    <col min="15114" max="15114" width="5.3984375" bestFit="1" customWidth="1"/>
    <col min="15115" max="15115" width="7.59765625" customWidth="1"/>
    <col min="15116" max="15116" width="5.3984375" customWidth="1"/>
    <col min="15117" max="15117" width="7.59765625" customWidth="1"/>
    <col min="15118" max="15118" width="5.3984375" bestFit="1" customWidth="1"/>
    <col min="15119" max="15119" width="7.59765625" customWidth="1"/>
    <col min="15120" max="15120" width="5.3984375" customWidth="1"/>
    <col min="15121" max="15121" width="7.59765625" customWidth="1"/>
    <col min="15122" max="15122" width="5.3984375" bestFit="1" customWidth="1"/>
    <col min="15123" max="15123" width="7.59765625" customWidth="1"/>
    <col min="15124" max="15124" width="5.3984375" customWidth="1"/>
    <col min="15125" max="15125" width="7.59765625" customWidth="1"/>
    <col min="15126" max="15126" width="5.3984375" bestFit="1" customWidth="1"/>
    <col min="15127" max="15127" width="7.59765625" customWidth="1"/>
    <col min="15128" max="15128" width="5.3984375" customWidth="1"/>
    <col min="15129" max="15129" width="7.59765625" customWidth="1"/>
    <col min="15130" max="15130" width="5.3984375" bestFit="1" customWidth="1"/>
    <col min="15131" max="15131" width="7.59765625" customWidth="1"/>
    <col min="15132" max="15132" width="5.3984375" customWidth="1"/>
    <col min="15133" max="15133" width="7.59765625" customWidth="1"/>
    <col min="15134" max="15134" width="5.3984375" bestFit="1" customWidth="1"/>
    <col min="15135" max="15135" width="7.59765625" customWidth="1"/>
    <col min="15136" max="15136" width="5.3984375" customWidth="1"/>
    <col min="15137" max="15137" width="7.59765625" customWidth="1"/>
    <col min="15138" max="15138" width="5.3984375" bestFit="1" customWidth="1"/>
    <col min="15139" max="15139" width="7.59765625" customWidth="1"/>
    <col min="15140" max="15140" width="5.3984375" customWidth="1"/>
    <col min="15141" max="15141" width="7.59765625" customWidth="1"/>
    <col min="15142" max="15142" width="5.3984375" bestFit="1" customWidth="1"/>
    <col min="15143" max="15143" width="7.59765625" customWidth="1"/>
    <col min="15144" max="15144" width="5.3984375" customWidth="1"/>
    <col min="15145" max="15145" width="7.59765625" customWidth="1"/>
    <col min="15146" max="15146" width="5.3984375" bestFit="1" customWidth="1"/>
    <col min="15147" max="15147" width="7.59765625" customWidth="1"/>
    <col min="15148" max="15148" width="5.3984375" customWidth="1"/>
    <col min="15149" max="15149" width="7.59765625" customWidth="1"/>
    <col min="15150" max="15150" width="5.3984375" bestFit="1" customWidth="1"/>
    <col min="15151" max="15151" width="7.59765625" customWidth="1"/>
    <col min="15152" max="15152" width="5.3984375" customWidth="1"/>
    <col min="15153" max="15153" width="7.59765625" customWidth="1"/>
    <col min="15154" max="15154" width="5.3984375" bestFit="1" customWidth="1"/>
    <col min="15155" max="15155" width="7.59765625" customWidth="1"/>
    <col min="15156" max="15156" width="5.3984375" customWidth="1"/>
    <col min="15157" max="15157" width="7.59765625" customWidth="1"/>
    <col min="15158" max="15158" width="5.3984375" bestFit="1" customWidth="1"/>
    <col min="15159" max="15159" width="7.59765625" customWidth="1"/>
    <col min="15160" max="15160" width="5.3984375" customWidth="1"/>
    <col min="15161" max="15161" width="7.59765625" customWidth="1"/>
    <col min="15162" max="15162" width="5.3984375" bestFit="1" customWidth="1"/>
    <col min="15163" max="15163" width="7.59765625" customWidth="1"/>
    <col min="15164" max="15164" width="5.3984375" customWidth="1"/>
    <col min="15165" max="15165" width="7.59765625" customWidth="1"/>
    <col min="15166" max="15166" width="5.3984375" bestFit="1" customWidth="1"/>
    <col min="15167" max="15167" width="7.59765625" customWidth="1"/>
    <col min="15168" max="15168" width="5.3984375" customWidth="1"/>
    <col min="15169" max="15169" width="7.59765625" customWidth="1"/>
    <col min="15170" max="15170" width="5.3984375" bestFit="1" customWidth="1"/>
    <col min="15171" max="15171" width="7.59765625" customWidth="1"/>
    <col min="15172" max="15172" width="5.3984375" customWidth="1"/>
    <col min="15173" max="15173" width="7.59765625" customWidth="1"/>
    <col min="15174" max="15174" width="5.3984375" bestFit="1" customWidth="1"/>
    <col min="15176" max="15177" width="5.3984375" bestFit="1" customWidth="1"/>
    <col min="15178" max="15178" width="2.09765625" bestFit="1" customWidth="1"/>
    <col min="15329" max="15329" width="4.3984375" customWidth="1"/>
    <col min="15330" max="15330" width="30.5" customWidth="1"/>
    <col min="15333" max="15333" width="10.69921875" customWidth="1"/>
    <col min="15334" max="15334" width="5.19921875" customWidth="1"/>
    <col min="15335" max="15335" width="7.59765625" customWidth="1"/>
    <col min="15336" max="15336" width="5.3984375" customWidth="1"/>
    <col min="15337" max="15337" width="7.59765625" customWidth="1"/>
    <col min="15338" max="15338" width="6" bestFit="1" customWidth="1"/>
    <col min="15339" max="15339" width="7.59765625" customWidth="1"/>
    <col min="15340" max="15340" width="5.3984375" customWidth="1"/>
    <col min="15341" max="15341" width="7.59765625" customWidth="1"/>
    <col min="15342" max="15342" width="5.3984375" bestFit="1" customWidth="1"/>
    <col min="15343" max="15343" width="7.59765625" customWidth="1"/>
    <col min="15344" max="15344" width="5.3984375" customWidth="1"/>
    <col min="15345" max="15345" width="7.59765625" customWidth="1"/>
    <col min="15346" max="15346" width="5.3984375" bestFit="1" customWidth="1"/>
    <col min="15347" max="15347" width="7.59765625" customWidth="1"/>
    <col min="15348" max="15348" width="5.3984375" customWidth="1"/>
    <col min="15349" max="15349" width="7.59765625" customWidth="1"/>
    <col min="15350" max="15350" width="5.3984375" bestFit="1" customWidth="1"/>
    <col min="15351" max="15351" width="7.59765625" customWidth="1"/>
    <col min="15352" max="15352" width="5.3984375" customWidth="1"/>
    <col min="15353" max="15353" width="7.59765625" customWidth="1"/>
    <col min="15354" max="15354" width="5.3984375" bestFit="1" customWidth="1"/>
    <col min="15355" max="15355" width="7.59765625" customWidth="1"/>
    <col min="15356" max="15356" width="5.3984375" customWidth="1"/>
    <col min="15357" max="15357" width="7.59765625" customWidth="1"/>
    <col min="15358" max="15358" width="5.3984375" bestFit="1" customWidth="1"/>
    <col min="15359" max="15359" width="7.59765625" customWidth="1"/>
    <col min="15360" max="15360" width="5.3984375" customWidth="1"/>
    <col min="15361" max="15361" width="7.59765625" customWidth="1"/>
    <col min="15362" max="15362" width="5.3984375" bestFit="1" customWidth="1"/>
    <col min="15363" max="15363" width="7.59765625" customWidth="1"/>
    <col min="15364" max="15364" width="5.3984375" customWidth="1"/>
    <col min="15365" max="15365" width="7.59765625" customWidth="1"/>
    <col min="15366" max="15366" width="5.3984375" bestFit="1" customWidth="1"/>
    <col min="15367" max="15367" width="7.59765625" customWidth="1"/>
    <col min="15368" max="15368" width="5.3984375" customWidth="1"/>
    <col min="15369" max="15369" width="7.59765625" customWidth="1"/>
    <col min="15370" max="15370" width="5.3984375" bestFit="1" customWidth="1"/>
    <col min="15371" max="15371" width="7.59765625" customWidth="1"/>
    <col min="15372" max="15372" width="5.3984375" customWidth="1"/>
    <col min="15373" max="15373" width="7.59765625" customWidth="1"/>
    <col min="15374" max="15374" width="5.3984375" bestFit="1" customWidth="1"/>
    <col min="15375" max="15375" width="7.59765625" customWidth="1"/>
    <col min="15376" max="15376" width="5.3984375" customWidth="1"/>
    <col min="15377" max="15377" width="7.59765625" customWidth="1"/>
    <col min="15378" max="15378" width="5.3984375" bestFit="1" customWidth="1"/>
    <col min="15379" max="15379" width="7.59765625" customWidth="1"/>
    <col min="15380" max="15380" width="5.3984375" customWidth="1"/>
    <col min="15381" max="15381" width="7.59765625" customWidth="1"/>
    <col min="15382" max="15382" width="5.3984375" bestFit="1" customWidth="1"/>
    <col min="15383" max="15383" width="7.59765625" customWidth="1"/>
    <col min="15384" max="15384" width="5.3984375" customWidth="1"/>
    <col min="15385" max="15385" width="7.59765625" customWidth="1"/>
    <col min="15386" max="15386" width="5.3984375" bestFit="1" customWidth="1"/>
    <col min="15387" max="15387" width="7.59765625" customWidth="1"/>
    <col min="15388" max="15388" width="5.3984375" customWidth="1"/>
    <col min="15389" max="15389" width="7.59765625" customWidth="1"/>
    <col min="15390" max="15390" width="5.3984375" bestFit="1" customWidth="1"/>
    <col min="15391" max="15391" width="7.59765625" customWidth="1"/>
    <col min="15392" max="15392" width="5.3984375" customWidth="1"/>
    <col min="15393" max="15393" width="7.59765625" customWidth="1"/>
    <col min="15394" max="15394" width="5.3984375" bestFit="1" customWidth="1"/>
    <col min="15395" max="15395" width="7.59765625" customWidth="1"/>
    <col min="15396" max="15396" width="5.3984375" customWidth="1"/>
    <col min="15397" max="15397" width="7.59765625" customWidth="1"/>
    <col min="15398" max="15398" width="5.3984375" bestFit="1" customWidth="1"/>
    <col min="15399" max="15399" width="7.59765625" customWidth="1"/>
    <col min="15400" max="15400" width="5.3984375" customWidth="1"/>
    <col min="15401" max="15401" width="7.59765625" customWidth="1"/>
    <col min="15402" max="15402" width="5.3984375" bestFit="1" customWidth="1"/>
    <col min="15403" max="15403" width="7.59765625" customWidth="1"/>
    <col min="15404" max="15404" width="5.3984375" customWidth="1"/>
    <col min="15405" max="15405" width="7.59765625" customWidth="1"/>
    <col min="15406" max="15406" width="5.3984375" bestFit="1" customWidth="1"/>
    <col min="15407" max="15407" width="7.59765625" customWidth="1"/>
    <col min="15408" max="15408" width="5.3984375" customWidth="1"/>
    <col min="15409" max="15409" width="7.59765625" customWidth="1"/>
    <col min="15410" max="15410" width="5.3984375" bestFit="1" customWidth="1"/>
    <col min="15411" max="15411" width="7.59765625" customWidth="1"/>
    <col min="15412" max="15412" width="5.3984375" customWidth="1"/>
    <col min="15413" max="15413" width="7.59765625" customWidth="1"/>
    <col min="15414" max="15414" width="5.3984375" bestFit="1" customWidth="1"/>
    <col min="15415" max="15415" width="7.59765625" customWidth="1"/>
    <col min="15416" max="15416" width="5.3984375" customWidth="1"/>
    <col min="15417" max="15417" width="7.59765625" customWidth="1"/>
    <col min="15418" max="15418" width="5.3984375" bestFit="1" customWidth="1"/>
    <col min="15419" max="15419" width="7.59765625" customWidth="1"/>
    <col min="15420" max="15420" width="5.3984375" customWidth="1"/>
    <col min="15421" max="15421" width="7.59765625" customWidth="1"/>
    <col min="15422" max="15422" width="5.3984375" bestFit="1" customWidth="1"/>
    <col min="15423" max="15423" width="7.59765625" customWidth="1"/>
    <col min="15424" max="15424" width="5.3984375" customWidth="1"/>
    <col min="15425" max="15425" width="7.59765625" customWidth="1"/>
    <col min="15426" max="15426" width="5.3984375" bestFit="1" customWidth="1"/>
    <col min="15427" max="15427" width="7.59765625" customWidth="1"/>
    <col min="15428" max="15428" width="5.3984375" customWidth="1"/>
    <col min="15429" max="15429" width="7.59765625" customWidth="1"/>
    <col min="15430" max="15430" width="5.3984375" bestFit="1" customWidth="1"/>
    <col min="15432" max="15433" width="5.3984375" bestFit="1" customWidth="1"/>
    <col min="15434" max="15434" width="2.09765625" bestFit="1" customWidth="1"/>
    <col min="15585" max="15585" width="4.3984375" customWidth="1"/>
    <col min="15586" max="15586" width="30.5" customWidth="1"/>
    <col min="15589" max="15589" width="10.69921875" customWidth="1"/>
    <col min="15590" max="15590" width="5.19921875" customWidth="1"/>
    <col min="15591" max="15591" width="7.59765625" customWidth="1"/>
    <col min="15592" max="15592" width="5.3984375" customWidth="1"/>
    <col min="15593" max="15593" width="7.59765625" customWidth="1"/>
    <col min="15594" max="15594" width="6" bestFit="1" customWidth="1"/>
    <col min="15595" max="15595" width="7.59765625" customWidth="1"/>
    <col min="15596" max="15596" width="5.3984375" customWidth="1"/>
    <col min="15597" max="15597" width="7.59765625" customWidth="1"/>
    <col min="15598" max="15598" width="5.3984375" bestFit="1" customWidth="1"/>
    <col min="15599" max="15599" width="7.59765625" customWidth="1"/>
    <col min="15600" max="15600" width="5.3984375" customWidth="1"/>
    <col min="15601" max="15601" width="7.59765625" customWidth="1"/>
    <col min="15602" max="15602" width="5.3984375" bestFit="1" customWidth="1"/>
    <col min="15603" max="15603" width="7.59765625" customWidth="1"/>
    <col min="15604" max="15604" width="5.3984375" customWidth="1"/>
    <col min="15605" max="15605" width="7.59765625" customWidth="1"/>
    <col min="15606" max="15606" width="5.3984375" bestFit="1" customWidth="1"/>
    <col min="15607" max="15607" width="7.59765625" customWidth="1"/>
    <col min="15608" max="15608" width="5.3984375" customWidth="1"/>
    <col min="15609" max="15609" width="7.59765625" customWidth="1"/>
    <col min="15610" max="15610" width="5.3984375" bestFit="1" customWidth="1"/>
    <col min="15611" max="15611" width="7.59765625" customWidth="1"/>
    <col min="15612" max="15612" width="5.3984375" customWidth="1"/>
    <col min="15613" max="15613" width="7.59765625" customWidth="1"/>
    <col min="15614" max="15614" width="5.3984375" bestFit="1" customWidth="1"/>
    <col min="15615" max="15615" width="7.59765625" customWidth="1"/>
    <col min="15616" max="15616" width="5.3984375" customWidth="1"/>
    <col min="15617" max="15617" width="7.59765625" customWidth="1"/>
    <col min="15618" max="15618" width="5.3984375" bestFit="1" customWidth="1"/>
    <col min="15619" max="15619" width="7.59765625" customWidth="1"/>
    <col min="15620" max="15620" width="5.3984375" customWidth="1"/>
    <col min="15621" max="15621" width="7.59765625" customWidth="1"/>
    <col min="15622" max="15622" width="5.3984375" bestFit="1" customWidth="1"/>
    <col min="15623" max="15623" width="7.59765625" customWidth="1"/>
    <col min="15624" max="15624" width="5.3984375" customWidth="1"/>
    <col min="15625" max="15625" width="7.59765625" customWidth="1"/>
    <col min="15626" max="15626" width="5.3984375" bestFit="1" customWidth="1"/>
    <col min="15627" max="15627" width="7.59765625" customWidth="1"/>
    <col min="15628" max="15628" width="5.3984375" customWidth="1"/>
    <col min="15629" max="15629" width="7.59765625" customWidth="1"/>
    <col min="15630" max="15630" width="5.3984375" bestFit="1" customWidth="1"/>
    <col min="15631" max="15631" width="7.59765625" customWidth="1"/>
    <col min="15632" max="15632" width="5.3984375" customWidth="1"/>
    <col min="15633" max="15633" width="7.59765625" customWidth="1"/>
    <col min="15634" max="15634" width="5.3984375" bestFit="1" customWidth="1"/>
    <col min="15635" max="15635" width="7.59765625" customWidth="1"/>
    <col min="15636" max="15636" width="5.3984375" customWidth="1"/>
    <col min="15637" max="15637" width="7.59765625" customWidth="1"/>
    <col min="15638" max="15638" width="5.3984375" bestFit="1" customWidth="1"/>
    <col min="15639" max="15639" width="7.59765625" customWidth="1"/>
    <col min="15640" max="15640" width="5.3984375" customWidth="1"/>
    <col min="15641" max="15641" width="7.59765625" customWidth="1"/>
    <col min="15642" max="15642" width="5.3984375" bestFit="1" customWidth="1"/>
    <col min="15643" max="15643" width="7.59765625" customWidth="1"/>
    <col min="15644" max="15644" width="5.3984375" customWidth="1"/>
    <col min="15645" max="15645" width="7.59765625" customWidth="1"/>
    <col min="15646" max="15646" width="5.3984375" bestFit="1" customWidth="1"/>
    <col min="15647" max="15647" width="7.59765625" customWidth="1"/>
    <col min="15648" max="15648" width="5.3984375" customWidth="1"/>
    <col min="15649" max="15649" width="7.59765625" customWidth="1"/>
    <col min="15650" max="15650" width="5.3984375" bestFit="1" customWidth="1"/>
    <col min="15651" max="15651" width="7.59765625" customWidth="1"/>
    <col min="15652" max="15652" width="5.3984375" customWidth="1"/>
    <col min="15653" max="15653" width="7.59765625" customWidth="1"/>
    <col min="15654" max="15654" width="5.3984375" bestFit="1" customWidth="1"/>
    <col min="15655" max="15655" width="7.59765625" customWidth="1"/>
    <col min="15656" max="15656" width="5.3984375" customWidth="1"/>
    <col min="15657" max="15657" width="7.59765625" customWidth="1"/>
    <col min="15658" max="15658" width="5.3984375" bestFit="1" customWidth="1"/>
    <col min="15659" max="15659" width="7.59765625" customWidth="1"/>
    <col min="15660" max="15660" width="5.3984375" customWidth="1"/>
    <col min="15661" max="15661" width="7.59765625" customWidth="1"/>
    <col min="15662" max="15662" width="5.3984375" bestFit="1" customWidth="1"/>
    <col min="15663" max="15663" width="7.59765625" customWidth="1"/>
    <col min="15664" max="15664" width="5.3984375" customWidth="1"/>
    <col min="15665" max="15665" width="7.59765625" customWidth="1"/>
    <col min="15666" max="15666" width="5.3984375" bestFit="1" customWidth="1"/>
    <col min="15667" max="15667" width="7.59765625" customWidth="1"/>
    <col min="15668" max="15668" width="5.3984375" customWidth="1"/>
    <col min="15669" max="15669" width="7.59765625" customWidth="1"/>
    <col min="15670" max="15670" width="5.3984375" bestFit="1" customWidth="1"/>
    <col min="15671" max="15671" width="7.59765625" customWidth="1"/>
    <col min="15672" max="15672" width="5.3984375" customWidth="1"/>
    <col min="15673" max="15673" width="7.59765625" customWidth="1"/>
    <col min="15674" max="15674" width="5.3984375" bestFit="1" customWidth="1"/>
    <col min="15675" max="15675" width="7.59765625" customWidth="1"/>
    <col min="15676" max="15676" width="5.3984375" customWidth="1"/>
    <col min="15677" max="15677" width="7.59765625" customWidth="1"/>
    <col min="15678" max="15678" width="5.3984375" bestFit="1" customWidth="1"/>
    <col min="15679" max="15679" width="7.59765625" customWidth="1"/>
    <col min="15680" max="15680" width="5.3984375" customWidth="1"/>
    <col min="15681" max="15681" width="7.59765625" customWidth="1"/>
    <col min="15682" max="15682" width="5.3984375" bestFit="1" customWidth="1"/>
    <col min="15683" max="15683" width="7.59765625" customWidth="1"/>
    <col min="15684" max="15684" width="5.3984375" customWidth="1"/>
    <col min="15685" max="15685" width="7.59765625" customWidth="1"/>
    <col min="15686" max="15686" width="5.3984375" bestFit="1" customWidth="1"/>
    <col min="15688" max="15689" width="5.3984375" bestFit="1" customWidth="1"/>
    <col min="15690" max="15690" width="2.09765625" bestFit="1" customWidth="1"/>
    <col min="15841" max="15841" width="4.3984375" customWidth="1"/>
    <col min="15842" max="15842" width="30.5" customWidth="1"/>
    <col min="15845" max="15845" width="10.69921875" customWidth="1"/>
    <col min="15846" max="15846" width="5.19921875" customWidth="1"/>
    <col min="15847" max="15847" width="7.59765625" customWidth="1"/>
    <col min="15848" max="15848" width="5.3984375" customWidth="1"/>
    <col min="15849" max="15849" width="7.59765625" customWidth="1"/>
    <col min="15850" max="15850" width="6" bestFit="1" customWidth="1"/>
    <col min="15851" max="15851" width="7.59765625" customWidth="1"/>
    <col min="15852" max="15852" width="5.3984375" customWidth="1"/>
    <col min="15853" max="15853" width="7.59765625" customWidth="1"/>
    <col min="15854" max="15854" width="5.3984375" bestFit="1" customWidth="1"/>
    <col min="15855" max="15855" width="7.59765625" customWidth="1"/>
    <col min="15856" max="15856" width="5.3984375" customWidth="1"/>
    <col min="15857" max="15857" width="7.59765625" customWidth="1"/>
    <col min="15858" max="15858" width="5.3984375" bestFit="1" customWidth="1"/>
    <col min="15859" max="15859" width="7.59765625" customWidth="1"/>
    <col min="15860" max="15860" width="5.3984375" customWidth="1"/>
    <col min="15861" max="15861" width="7.59765625" customWidth="1"/>
    <col min="15862" max="15862" width="5.3984375" bestFit="1" customWidth="1"/>
    <col min="15863" max="15863" width="7.59765625" customWidth="1"/>
    <col min="15864" max="15864" width="5.3984375" customWidth="1"/>
    <col min="15865" max="15865" width="7.59765625" customWidth="1"/>
    <col min="15866" max="15866" width="5.3984375" bestFit="1" customWidth="1"/>
    <col min="15867" max="15867" width="7.59765625" customWidth="1"/>
    <col min="15868" max="15868" width="5.3984375" customWidth="1"/>
    <col min="15869" max="15869" width="7.59765625" customWidth="1"/>
    <col min="15870" max="15870" width="5.3984375" bestFit="1" customWidth="1"/>
    <col min="15871" max="15871" width="7.59765625" customWidth="1"/>
    <col min="15872" max="15872" width="5.3984375" customWidth="1"/>
    <col min="15873" max="15873" width="7.59765625" customWidth="1"/>
    <col min="15874" max="15874" width="5.3984375" bestFit="1" customWidth="1"/>
    <col min="15875" max="15875" width="7.59765625" customWidth="1"/>
    <col min="15876" max="15876" width="5.3984375" customWidth="1"/>
    <col min="15877" max="15877" width="7.59765625" customWidth="1"/>
    <col min="15878" max="15878" width="5.3984375" bestFit="1" customWidth="1"/>
    <col min="15879" max="15879" width="7.59765625" customWidth="1"/>
    <col min="15880" max="15880" width="5.3984375" customWidth="1"/>
    <col min="15881" max="15881" width="7.59765625" customWidth="1"/>
    <col min="15882" max="15882" width="5.3984375" bestFit="1" customWidth="1"/>
    <col min="15883" max="15883" width="7.59765625" customWidth="1"/>
    <col min="15884" max="15884" width="5.3984375" customWidth="1"/>
    <col min="15885" max="15885" width="7.59765625" customWidth="1"/>
    <col min="15886" max="15886" width="5.3984375" bestFit="1" customWidth="1"/>
    <col min="15887" max="15887" width="7.59765625" customWidth="1"/>
    <col min="15888" max="15888" width="5.3984375" customWidth="1"/>
    <col min="15889" max="15889" width="7.59765625" customWidth="1"/>
    <col min="15890" max="15890" width="5.3984375" bestFit="1" customWidth="1"/>
    <col min="15891" max="15891" width="7.59765625" customWidth="1"/>
    <col min="15892" max="15892" width="5.3984375" customWidth="1"/>
    <col min="15893" max="15893" width="7.59765625" customWidth="1"/>
    <col min="15894" max="15894" width="5.3984375" bestFit="1" customWidth="1"/>
    <col min="15895" max="15895" width="7.59765625" customWidth="1"/>
    <col min="15896" max="15896" width="5.3984375" customWidth="1"/>
    <col min="15897" max="15897" width="7.59765625" customWidth="1"/>
    <col min="15898" max="15898" width="5.3984375" bestFit="1" customWidth="1"/>
    <col min="15899" max="15899" width="7.59765625" customWidth="1"/>
    <col min="15900" max="15900" width="5.3984375" customWidth="1"/>
    <col min="15901" max="15901" width="7.59765625" customWidth="1"/>
    <col min="15902" max="15902" width="5.3984375" bestFit="1" customWidth="1"/>
    <col min="15903" max="15903" width="7.59765625" customWidth="1"/>
    <col min="15904" max="15904" width="5.3984375" customWidth="1"/>
    <col min="15905" max="15905" width="7.59765625" customWidth="1"/>
    <col min="15906" max="15906" width="5.3984375" bestFit="1" customWidth="1"/>
    <col min="15907" max="15907" width="7.59765625" customWidth="1"/>
    <col min="15908" max="15908" width="5.3984375" customWidth="1"/>
    <col min="15909" max="15909" width="7.59765625" customWidth="1"/>
    <col min="15910" max="15910" width="5.3984375" bestFit="1" customWidth="1"/>
    <col min="15911" max="15911" width="7.59765625" customWidth="1"/>
    <col min="15912" max="15912" width="5.3984375" customWidth="1"/>
    <col min="15913" max="15913" width="7.59765625" customWidth="1"/>
    <col min="15914" max="15914" width="5.3984375" bestFit="1" customWidth="1"/>
    <col min="15915" max="15915" width="7.59765625" customWidth="1"/>
    <col min="15916" max="15916" width="5.3984375" customWidth="1"/>
    <col min="15917" max="15917" width="7.59765625" customWidth="1"/>
    <col min="15918" max="15918" width="5.3984375" bestFit="1" customWidth="1"/>
    <col min="15919" max="15919" width="7.59765625" customWidth="1"/>
    <col min="15920" max="15920" width="5.3984375" customWidth="1"/>
    <col min="15921" max="15921" width="7.59765625" customWidth="1"/>
    <col min="15922" max="15922" width="5.3984375" bestFit="1" customWidth="1"/>
    <col min="15923" max="15923" width="7.59765625" customWidth="1"/>
    <col min="15924" max="15924" width="5.3984375" customWidth="1"/>
    <col min="15925" max="15925" width="7.59765625" customWidth="1"/>
    <col min="15926" max="15926" width="5.3984375" bestFit="1" customWidth="1"/>
    <col min="15927" max="15927" width="7.59765625" customWidth="1"/>
    <col min="15928" max="15928" width="5.3984375" customWidth="1"/>
    <col min="15929" max="15929" width="7.59765625" customWidth="1"/>
    <col min="15930" max="15930" width="5.3984375" bestFit="1" customWidth="1"/>
    <col min="15931" max="15931" width="7.59765625" customWidth="1"/>
    <col min="15932" max="15932" width="5.3984375" customWidth="1"/>
    <col min="15933" max="15933" width="7.59765625" customWidth="1"/>
    <col min="15934" max="15934" width="5.3984375" bestFit="1" customWidth="1"/>
    <col min="15935" max="15935" width="7.59765625" customWidth="1"/>
    <col min="15936" max="15936" width="5.3984375" customWidth="1"/>
    <col min="15937" max="15937" width="7.59765625" customWidth="1"/>
    <col min="15938" max="15938" width="5.3984375" bestFit="1" customWidth="1"/>
    <col min="15939" max="15939" width="7.59765625" customWidth="1"/>
    <col min="15940" max="15940" width="5.3984375" customWidth="1"/>
    <col min="15941" max="15941" width="7.59765625" customWidth="1"/>
    <col min="15942" max="15942" width="5.3984375" bestFit="1" customWidth="1"/>
    <col min="15944" max="15945" width="5.3984375" bestFit="1" customWidth="1"/>
    <col min="15946" max="15946" width="2.09765625" bestFit="1" customWidth="1"/>
    <col min="16097" max="16097" width="4.3984375" customWidth="1"/>
    <col min="16098" max="16098" width="30.5" customWidth="1"/>
    <col min="16101" max="16101" width="10.69921875" customWidth="1"/>
    <col min="16102" max="16102" width="5.19921875" customWidth="1"/>
    <col min="16103" max="16103" width="7.59765625" customWidth="1"/>
    <col min="16104" max="16104" width="5.3984375" customWidth="1"/>
    <col min="16105" max="16105" width="7.59765625" customWidth="1"/>
    <col min="16106" max="16106" width="6" bestFit="1" customWidth="1"/>
    <col min="16107" max="16107" width="7.59765625" customWidth="1"/>
    <col min="16108" max="16108" width="5.3984375" customWidth="1"/>
    <col min="16109" max="16109" width="7.59765625" customWidth="1"/>
    <col min="16110" max="16110" width="5.3984375" bestFit="1" customWidth="1"/>
    <col min="16111" max="16111" width="7.59765625" customWidth="1"/>
    <col min="16112" max="16112" width="5.3984375" customWidth="1"/>
    <col min="16113" max="16113" width="7.59765625" customWidth="1"/>
    <col min="16114" max="16114" width="5.3984375" bestFit="1" customWidth="1"/>
    <col min="16115" max="16115" width="7.59765625" customWidth="1"/>
    <col min="16116" max="16116" width="5.3984375" customWidth="1"/>
    <col min="16117" max="16117" width="7.59765625" customWidth="1"/>
    <col min="16118" max="16118" width="5.3984375" bestFit="1" customWidth="1"/>
    <col min="16119" max="16119" width="7.59765625" customWidth="1"/>
    <col min="16120" max="16120" width="5.3984375" customWidth="1"/>
    <col min="16121" max="16121" width="7.59765625" customWidth="1"/>
    <col min="16122" max="16122" width="5.3984375" bestFit="1" customWidth="1"/>
    <col min="16123" max="16123" width="7.59765625" customWidth="1"/>
    <col min="16124" max="16124" width="5.3984375" customWidth="1"/>
    <col min="16125" max="16125" width="7.59765625" customWidth="1"/>
    <col min="16126" max="16126" width="5.3984375" bestFit="1" customWidth="1"/>
    <col min="16127" max="16127" width="7.59765625" customWidth="1"/>
    <col min="16128" max="16128" width="5.3984375" customWidth="1"/>
    <col min="16129" max="16129" width="7.59765625" customWidth="1"/>
    <col min="16130" max="16130" width="5.3984375" bestFit="1" customWidth="1"/>
    <col min="16131" max="16131" width="7.59765625" customWidth="1"/>
    <col min="16132" max="16132" width="5.3984375" customWidth="1"/>
    <col min="16133" max="16133" width="7.59765625" customWidth="1"/>
    <col min="16134" max="16134" width="5.3984375" bestFit="1" customWidth="1"/>
    <col min="16135" max="16135" width="7.59765625" customWidth="1"/>
    <col min="16136" max="16136" width="5.3984375" customWidth="1"/>
    <col min="16137" max="16137" width="7.59765625" customWidth="1"/>
    <col min="16138" max="16138" width="5.3984375" bestFit="1" customWidth="1"/>
    <col min="16139" max="16139" width="7.59765625" customWidth="1"/>
    <col min="16140" max="16140" width="5.3984375" customWidth="1"/>
    <col min="16141" max="16141" width="7.59765625" customWidth="1"/>
    <col min="16142" max="16142" width="5.3984375" bestFit="1" customWidth="1"/>
    <col min="16143" max="16143" width="7.59765625" customWidth="1"/>
    <col min="16144" max="16144" width="5.3984375" customWidth="1"/>
    <col min="16145" max="16145" width="7.59765625" customWidth="1"/>
    <col min="16146" max="16146" width="5.3984375" bestFit="1" customWidth="1"/>
    <col min="16147" max="16147" width="7.59765625" customWidth="1"/>
    <col min="16148" max="16148" width="5.3984375" customWidth="1"/>
    <col min="16149" max="16149" width="7.59765625" customWidth="1"/>
    <col min="16150" max="16150" width="5.3984375" bestFit="1" customWidth="1"/>
    <col min="16151" max="16151" width="7.59765625" customWidth="1"/>
    <col min="16152" max="16152" width="5.3984375" customWidth="1"/>
    <col min="16153" max="16153" width="7.59765625" customWidth="1"/>
    <col min="16154" max="16154" width="5.3984375" bestFit="1" customWidth="1"/>
    <col min="16155" max="16155" width="7.59765625" customWidth="1"/>
    <col min="16156" max="16156" width="5.3984375" customWidth="1"/>
    <col min="16157" max="16157" width="7.59765625" customWidth="1"/>
    <col min="16158" max="16158" width="5.3984375" bestFit="1" customWidth="1"/>
    <col min="16159" max="16159" width="7.59765625" customWidth="1"/>
    <col min="16160" max="16160" width="5.3984375" customWidth="1"/>
    <col min="16161" max="16161" width="7.59765625" customWidth="1"/>
    <col min="16162" max="16162" width="5.3984375" bestFit="1" customWidth="1"/>
    <col min="16163" max="16163" width="7.59765625" customWidth="1"/>
    <col min="16164" max="16164" width="5.3984375" customWidth="1"/>
    <col min="16165" max="16165" width="7.59765625" customWidth="1"/>
    <col min="16166" max="16166" width="5.3984375" bestFit="1" customWidth="1"/>
    <col min="16167" max="16167" width="7.59765625" customWidth="1"/>
    <col min="16168" max="16168" width="5.3984375" customWidth="1"/>
    <col min="16169" max="16169" width="7.59765625" customWidth="1"/>
    <col min="16170" max="16170" width="5.3984375" bestFit="1" customWidth="1"/>
    <col min="16171" max="16171" width="7.59765625" customWidth="1"/>
    <col min="16172" max="16172" width="5.3984375" customWidth="1"/>
    <col min="16173" max="16173" width="7.59765625" customWidth="1"/>
    <col min="16174" max="16174" width="5.3984375" bestFit="1" customWidth="1"/>
    <col min="16175" max="16175" width="7.59765625" customWidth="1"/>
    <col min="16176" max="16176" width="5.3984375" customWidth="1"/>
    <col min="16177" max="16177" width="7.59765625" customWidth="1"/>
    <col min="16178" max="16178" width="5.3984375" bestFit="1" customWidth="1"/>
    <col min="16179" max="16179" width="7.59765625" customWidth="1"/>
    <col min="16180" max="16180" width="5.3984375" customWidth="1"/>
    <col min="16181" max="16181" width="7.59765625" customWidth="1"/>
    <col min="16182" max="16182" width="5.3984375" bestFit="1" customWidth="1"/>
    <col min="16183" max="16183" width="7.59765625" customWidth="1"/>
    <col min="16184" max="16184" width="5.3984375" customWidth="1"/>
    <col min="16185" max="16185" width="7.59765625" customWidth="1"/>
    <col min="16186" max="16186" width="5.3984375" bestFit="1" customWidth="1"/>
    <col min="16187" max="16187" width="7.59765625" customWidth="1"/>
    <col min="16188" max="16188" width="5.3984375" customWidth="1"/>
    <col min="16189" max="16189" width="7.59765625" customWidth="1"/>
    <col min="16190" max="16190" width="5.3984375" bestFit="1" customWidth="1"/>
    <col min="16191" max="16191" width="7.59765625" customWidth="1"/>
    <col min="16192" max="16192" width="5.3984375" customWidth="1"/>
    <col min="16193" max="16193" width="7.59765625" customWidth="1"/>
    <col min="16194" max="16194" width="5.3984375" bestFit="1" customWidth="1"/>
    <col min="16195" max="16195" width="7.59765625" customWidth="1"/>
    <col min="16196" max="16196" width="5.3984375" customWidth="1"/>
    <col min="16197" max="16197" width="7.59765625" customWidth="1"/>
    <col min="16198" max="16198" width="5.3984375" bestFit="1" customWidth="1"/>
    <col min="16200" max="16201" width="5.3984375" bestFit="1" customWidth="1"/>
    <col min="16202" max="16202" width="2.09765625" bestFit="1" customWidth="1"/>
  </cols>
  <sheetData>
    <row r="1" spans="1:74" s="44" customFormat="1" ht="10.95" customHeight="1" x14ac:dyDescent="0.2">
      <c r="A1" s="37"/>
      <c r="B1" s="38" t="s">
        <v>359</v>
      </c>
      <c r="C1" s="39"/>
      <c r="D1" s="40"/>
      <c r="E1" s="40"/>
      <c r="F1" s="40"/>
      <c r="G1" s="41"/>
      <c r="H1" s="180"/>
      <c r="I1" s="42"/>
      <c r="J1" s="43"/>
      <c r="K1" s="41"/>
      <c r="L1" s="42"/>
      <c r="M1" s="42"/>
      <c r="N1" s="43"/>
      <c r="O1" s="41"/>
      <c r="P1" s="42"/>
      <c r="Q1" s="42"/>
      <c r="R1" s="43"/>
      <c r="S1" s="41"/>
      <c r="T1" s="42"/>
      <c r="U1" s="42"/>
      <c r="V1" s="43"/>
      <c r="W1" s="41"/>
      <c r="X1" s="42"/>
      <c r="Y1" s="42"/>
      <c r="Z1" s="43"/>
      <c r="AA1" s="41"/>
      <c r="AB1" s="42"/>
      <c r="AC1" s="42"/>
      <c r="AD1" s="43"/>
      <c r="AE1" s="41"/>
      <c r="AF1" s="42"/>
      <c r="AG1" s="42"/>
      <c r="AH1" s="43"/>
      <c r="AI1" s="41"/>
      <c r="AJ1" s="42"/>
      <c r="AK1" s="42"/>
      <c r="AL1" s="43"/>
      <c r="AM1" s="41"/>
      <c r="AN1" s="42"/>
      <c r="AO1" s="42"/>
      <c r="AP1" s="43"/>
      <c r="AQ1" s="41"/>
      <c r="AR1" s="42"/>
      <c r="AS1" s="42"/>
      <c r="AT1" s="43"/>
      <c r="AU1" s="41"/>
      <c r="AV1" s="42"/>
      <c r="AW1" s="42"/>
      <c r="AX1" s="43"/>
      <c r="AY1" s="41"/>
      <c r="AZ1" s="42"/>
      <c r="BA1" s="42"/>
      <c r="BB1" s="43"/>
      <c r="BC1" s="41"/>
      <c r="BD1" s="42"/>
      <c r="BE1" s="42"/>
      <c r="BF1" s="43"/>
      <c r="BG1" s="41"/>
      <c r="BH1" s="42"/>
      <c r="BI1" s="42"/>
      <c r="BJ1" s="43"/>
      <c r="BK1" s="41"/>
      <c r="BL1" s="42"/>
      <c r="BM1" s="42"/>
      <c r="BN1" s="43"/>
      <c r="BO1" s="41"/>
      <c r="BP1" s="42"/>
      <c r="BQ1" s="42"/>
      <c r="BR1" s="43"/>
      <c r="BT1" s="36"/>
      <c r="BU1" s="36"/>
    </row>
    <row r="2" spans="1:74" s="44" customFormat="1" ht="10.95" customHeight="1" x14ac:dyDescent="0.2">
      <c r="A2" s="45"/>
      <c r="B2" s="46"/>
      <c r="C2" s="47"/>
      <c r="D2" s="48"/>
      <c r="E2" s="48"/>
      <c r="F2" s="48"/>
      <c r="G2" s="49"/>
      <c r="H2" s="51" t="s">
        <v>360</v>
      </c>
      <c r="I2" s="51"/>
      <c r="J2" s="52"/>
      <c r="K2" s="49"/>
      <c r="L2" s="50" t="s">
        <v>361</v>
      </c>
      <c r="M2" s="51"/>
      <c r="N2" s="52"/>
      <c r="O2" s="49"/>
      <c r="P2" s="50" t="s">
        <v>362</v>
      </c>
      <c r="Q2" s="51"/>
      <c r="R2" s="52"/>
      <c r="S2" s="49"/>
      <c r="T2" s="50" t="s">
        <v>363</v>
      </c>
      <c r="U2" s="51"/>
      <c r="V2" s="52"/>
      <c r="W2" s="49"/>
      <c r="X2" s="50" t="s">
        <v>364</v>
      </c>
      <c r="Y2" s="51"/>
      <c r="Z2" s="52"/>
      <c r="AA2" s="49"/>
      <c r="AB2" s="50" t="s">
        <v>365</v>
      </c>
      <c r="AC2" s="51"/>
      <c r="AD2" s="52"/>
      <c r="AE2" s="49"/>
      <c r="AF2" s="50" t="s">
        <v>366</v>
      </c>
      <c r="AG2" s="51"/>
      <c r="AH2" s="52"/>
      <c r="AI2" s="49"/>
      <c r="AJ2" s="50" t="s">
        <v>367</v>
      </c>
      <c r="AK2" s="51"/>
      <c r="AL2" s="52"/>
      <c r="AM2" s="49"/>
      <c r="AN2" s="50" t="s">
        <v>368</v>
      </c>
      <c r="AO2" s="51"/>
      <c r="AP2" s="52"/>
      <c r="AQ2" s="49"/>
      <c r="AR2" s="50" t="s">
        <v>369</v>
      </c>
      <c r="AS2" s="51"/>
      <c r="AT2" s="52"/>
      <c r="AU2" s="49"/>
      <c r="AV2" s="50" t="s">
        <v>370</v>
      </c>
      <c r="AW2" s="51"/>
      <c r="AX2" s="52"/>
      <c r="AY2" s="49"/>
      <c r="AZ2" s="50" t="s">
        <v>371</v>
      </c>
      <c r="BA2" s="51"/>
      <c r="BB2" s="52"/>
      <c r="BC2" s="49"/>
      <c r="BD2" s="50" t="s">
        <v>372</v>
      </c>
      <c r="BE2" s="51"/>
      <c r="BF2" s="52"/>
      <c r="BG2" s="49"/>
      <c r="BH2" s="50" t="s">
        <v>373</v>
      </c>
      <c r="BI2" s="51"/>
      <c r="BJ2" s="52"/>
      <c r="BK2" s="49"/>
      <c r="BL2" s="50" t="s">
        <v>374</v>
      </c>
      <c r="BM2" s="51"/>
      <c r="BN2" s="52"/>
      <c r="BO2" s="49"/>
      <c r="BP2" s="50" t="s">
        <v>375</v>
      </c>
      <c r="BQ2" s="51"/>
      <c r="BR2" s="52"/>
      <c r="BT2" s="53" t="s">
        <v>376</v>
      </c>
      <c r="BU2" s="53"/>
    </row>
    <row r="3" spans="1:74" s="44" customFormat="1" ht="9.6" x14ac:dyDescent="0.2">
      <c r="A3" s="45"/>
      <c r="B3" s="46"/>
      <c r="C3" s="54"/>
      <c r="D3" s="55"/>
      <c r="E3" s="55"/>
      <c r="F3" s="55"/>
      <c r="G3" s="56" t="s">
        <v>377</v>
      </c>
      <c r="H3" s="57"/>
      <c r="I3" s="58" t="s">
        <v>378</v>
      </c>
      <c r="J3" s="59"/>
      <c r="K3" s="56" t="s">
        <v>377</v>
      </c>
      <c r="L3" s="57"/>
      <c r="M3" s="58" t="s">
        <v>378</v>
      </c>
      <c r="N3" s="59"/>
      <c r="O3" s="56" t="s">
        <v>377</v>
      </c>
      <c r="P3" s="57"/>
      <c r="Q3" s="58" t="s">
        <v>378</v>
      </c>
      <c r="R3" s="59"/>
      <c r="S3" s="56" t="s">
        <v>377</v>
      </c>
      <c r="T3" s="57"/>
      <c r="U3" s="58" t="s">
        <v>378</v>
      </c>
      <c r="V3" s="59"/>
      <c r="W3" s="56" t="s">
        <v>377</v>
      </c>
      <c r="X3" s="57"/>
      <c r="Y3" s="58" t="s">
        <v>378</v>
      </c>
      <c r="Z3" s="59"/>
      <c r="AA3" s="56" t="s">
        <v>377</v>
      </c>
      <c r="AB3" s="57"/>
      <c r="AC3" s="58" t="s">
        <v>378</v>
      </c>
      <c r="AD3" s="59"/>
      <c r="AE3" s="56" t="s">
        <v>377</v>
      </c>
      <c r="AF3" s="57"/>
      <c r="AG3" s="58" t="s">
        <v>378</v>
      </c>
      <c r="AH3" s="59"/>
      <c r="AI3" s="56" t="s">
        <v>377</v>
      </c>
      <c r="AJ3" s="57"/>
      <c r="AK3" s="58" t="s">
        <v>378</v>
      </c>
      <c r="AL3" s="59"/>
      <c r="AM3" s="56" t="s">
        <v>377</v>
      </c>
      <c r="AN3" s="57"/>
      <c r="AO3" s="58" t="s">
        <v>378</v>
      </c>
      <c r="AP3" s="59"/>
      <c r="AQ3" s="56" t="s">
        <v>377</v>
      </c>
      <c r="AR3" s="57"/>
      <c r="AS3" s="58" t="s">
        <v>378</v>
      </c>
      <c r="AT3" s="59"/>
      <c r="AU3" s="56" t="s">
        <v>377</v>
      </c>
      <c r="AV3" s="57"/>
      <c r="AW3" s="58" t="s">
        <v>378</v>
      </c>
      <c r="AX3" s="59"/>
      <c r="AY3" s="56" t="s">
        <v>377</v>
      </c>
      <c r="AZ3" s="57"/>
      <c r="BA3" s="58" t="s">
        <v>378</v>
      </c>
      <c r="BB3" s="59"/>
      <c r="BC3" s="56" t="s">
        <v>377</v>
      </c>
      <c r="BD3" s="57"/>
      <c r="BE3" s="58" t="s">
        <v>378</v>
      </c>
      <c r="BF3" s="59"/>
      <c r="BG3" s="56" t="s">
        <v>377</v>
      </c>
      <c r="BH3" s="57"/>
      <c r="BI3" s="58" t="s">
        <v>378</v>
      </c>
      <c r="BJ3" s="59"/>
      <c r="BK3" s="56" t="s">
        <v>377</v>
      </c>
      <c r="BL3" s="57"/>
      <c r="BM3" s="58" t="s">
        <v>378</v>
      </c>
      <c r="BN3" s="59"/>
      <c r="BO3" s="56" t="s">
        <v>377</v>
      </c>
      <c r="BP3" s="57"/>
      <c r="BQ3" s="58" t="s">
        <v>378</v>
      </c>
      <c r="BR3" s="59"/>
      <c r="BT3" s="36"/>
      <c r="BU3" s="36"/>
    </row>
    <row r="4" spans="1:74" s="44" customFormat="1" ht="19.8" thickBot="1" x14ac:dyDescent="0.25">
      <c r="A4" s="60" t="s">
        <v>379</v>
      </c>
      <c r="B4" s="61" t="s">
        <v>380</v>
      </c>
      <c r="C4" s="62" t="s">
        <v>381</v>
      </c>
      <c r="D4" s="62" t="s">
        <v>382</v>
      </c>
      <c r="E4" s="63" t="s">
        <v>383</v>
      </c>
      <c r="F4" s="64" t="s">
        <v>384</v>
      </c>
      <c r="G4" s="65" t="s">
        <v>385</v>
      </c>
      <c r="H4" s="66" t="s">
        <v>384</v>
      </c>
      <c r="I4" s="62" t="s">
        <v>385</v>
      </c>
      <c r="J4" s="64" t="s">
        <v>384</v>
      </c>
      <c r="K4" s="65" t="s">
        <v>385</v>
      </c>
      <c r="L4" s="66" t="s">
        <v>384</v>
      </c>
      <c r="M4" s="62" t="s">
        <v>385</v>
      </c>
      <c r="N4" s="64" t="s">
        <v>384</v>
      </c>
      <c r="O4" s="65" t="s">
        <v>385</v>
      </c>
      <c r="P4" s="66" t="s">
        <v>384</v>
      </c>
      <c r="Q4" s="62" t="s">
        <v>385</v>
      </c>
      <c r="R4" s="64" t="s">
        <v>384</v>
      </c>
      <c r="S4" s="65" t="s">
        <v>385</v>
      </c>
      <c r="T4" s="66" t="s">
        <v>384</v>
      </c>
      <c r="U4" s="62" t="s">
        <v>385</v>
      </c>
      <c r="V4" s="64" t="s">
        <v>384</v>
      </c>
      <c r="W4" s="65" t="s">
        <v>385</v>
      </c>
      <c r="X4" s="66" t="s">
        <v>384</v>
      </c>
      <c r="Y4" s="62" t="s">
        <v>385</v>
      </c>
      <c r="Z4" s="64" t="s">
        <v>384</v>
      </c>
      <c r="AA4" s="65" t="s">
        <v>385</v>
      </c>
      <c r="AB4" s="66" t="s">
        <v>384</v>
      </c>
      <c r="AC4" s="62" t="s">
        <v>385</v>
      </c>
      <c r="AD4" s="64" t="s">
        <v>384</v>
      </c>
      <c r="AE4" s="65" t="s">
        <v>385</v>
      </c>
      <c r="AF4" s="66" t="s">
        <v>384</v>
      </c>
      <c r="AG4" s="62" t="s">
        <v>385</v>
      </c>
      <c r="AH4" s="64" t="s">
        <v>384</v>
      </c>
      <c r="AI4" s="65" t="s">
        <v>385</v>
      </c>
      <c r="AJ4" s="66" t="s">
        <v>384</v>
      </c>
      <c r="AK4" s="62" t="s">
        <v>385</v>
      </c>
      <c r="AL4" s="64" t="s">
        <v>384</v>
      </c>
      <c r="AM4" s="65" t="s">
        <v>385</v>
      </c>
      <c r="AN4" s="66" t="s">
        <v>384</v>
      </c>
      <c r="AO4" s="62" t="s">
        <v>385</v>
      </c>
      <c r="AP4" s="64" t="s">
        <v>384</v>
      </c>
      <c r="AQ4" s="65" t="s">
        <v>385</v>
      </c>
      <c r="AR4" s="66" t="s">
        <v>384</v>
      </c>
      <c r="AS4" s="62" t="s">
        <v>385</v>
      </c>
      <c r="AT4" s="64" t="s">
        <v>384</v>
      </c>
      <c r="AU4" s="65" t="s">
        <v>385</v>
      </c>
      <c r="AV4" s="66" t="s">
        <v>384</v>
      </c>
      <c r="AW4" s="62" t="s">
        <v>385</v>
      </c>
      <c r="AX4" s="64" t="s">
        <v>384</v>
      </c>
      <c r="AY4" s="65" t="s">
        <v>385</v>
      </c>
      <c r="AZ4" s="66" t="s">
        <v>384</v>
      </c>
      <c r="BA4" s="62" t="s">
        <v>385</v>
      </c>
      <c r="BB4" s="64" t="s">
        <v>384</v>
      </c>
      <c r="BC4" s="65" t="s">
        <v>385</v>
      </c>
      <c r="BD4" s="66" t="s">
        <v>384</v>
      </c>
      <c r="BE4" s="62" t="s">
        <v>385</v>
      </c>
      <c r="BF4" s="64" t="s">
        <v>384</v>
      </c>
      <c r="BG4" s="65" t="s">
        <v>385</v>
      </c>
      <c r="BH4" s="66" t="s">
        <v>384</v>
      </c>
      <c r="BI4" s="62" t="s">
        <v>385</v>
      </c>
      <c r="BJ4" s="64" t="s">
        <v>384</v>
      </c>
      <c r="BK4" s="65" t="s">
        <v>385</v>
      </c>
      <c r="BL4" s="66" t="s">
        <v>384</v>
      </c>
      <c r="BM4" s="62" t="s">
        <v>385</v>
      </c>
      <c r="BN4" s="64" t="s">
        <v>384</v>
      </c>
      <c r="BO4" s="65" t="s">
        <v>385</v>
      </c>
      <c r="BP4" s="66" t="s">
        <v>384</v>
      </c>
      <c r="BQ4" s="62" t="s">
        <v>385</v>
      </c>
      <c r="BR4" s="64" t="s">
        <v>384</v>
      </c>
      <c r="BT4" s="36"/>
      <c r="BU4" s="36"/>
    </row>
    <row r="5" spans="1:74" s="44" customFormat="1" ht="10.95" customHeight="1" thickBot="1" x14ac:dyDescent="0.25">
      <c r="A5" s="67"/>
      <c r="B5" s="68" t="s">
        <v>386</v>
      </c>
      <c r="C5" s="69"/>
      <c r="D5" s="69"/>
      <c r="E5" s="70"/>
      <c r="F5" s="71"/>
      <c r="G5" s="72"/>
      <c r="H5" s="73"/>
      <c r="I5" s="69"/>
      <c r="J5" s="71"/>
      <c r="K5" s="72"/>
      <c r="L5" s="73"/>
      <c r="M5" s="69"/>
      <c r="N5" s="71"/>
      <c r="O5" s="72"/>
      <c r="P5" s="73"/>
      <c r="Q5" s="69"/>
      <c r="R5" s="71"/>
      <c r="S5" s="72"/>
      <c r="T5" s="73"/>
      <c r="U5" s="69"/>
      <c r="V5" s="71"/>
      <c r="W5" s="72"/>
      <c r="X5" s="73"/>
      <c r="Y5" s="69"/>
      <c r="Z5" s="71"/>
      <c r="AA5" s="72"/>
      <c r="AB5" s="73"/>
      <c r="AC5" s="69"/>
      <c r="AD5" s="71"/>
      <c r="AE5" s="72"/>
      <c r="AF5" s="73"/>
      <c r="AG5" s="69"/>
      <c r="AH5" s="71"/>
      <c r="AI5" s="72"/>
      <c r="AJ5" s="73"/>
      <c r="AK5" s="69"/>
      <c r="AL5" s="71"/>
      <c r="AM5" s="72"/>
      <c r="AN5" s="73"/>
      <c r="AO5" s="69"/>
      <c r="AP5" s="71"/>
      <c r="AQ5" s="72"/>
      <c r="AR5" s="73"/>
      <c r="AS5" s="69"/>
      <c r="AT5" s="71"/>
      <c r="AU5" s="72"/>
      <c r="AV5" s="73"/>
      <c r="AW5" s="69"/>
      <c r="AX5" s="71"/>
      <c r="AY5" s="72"/>
      <c r="AZ5" s="73"/>
      <c r="BA5" s="69"/>
      <c r="BB5" s="71"/>
      <c r="BC5" s="72"/>
      <c r="BD5" s="73"/>
      <c r="BE5" s="69"/>
      <c r="BF5" s="71"/>
      <c r="BG5" s="72"/>
      <c r="BH5" s="73"/>
      <c r="BI5" s="69"/>
      <c r="BJ5" s="71"/>
      <c r="BK5" s="72"/>
      <c r="BL5" s="73"/>
      <c r="BM5" s="69"/>
      <c r="BN5" s="71"/>
      <c r="BO5" s="72"/>
      <c r="BP5" s="73"/>
      <c r="BQ5" s="69"/>
      <c r="BR5" s="71"/>
      <c r="BT5" s="36"/>
      <c r="BU5" s="36"/>
    </row>
    <row r="6" spans="1:74" s="44" customFormat="1" ht="10.95" customHeight="1" x14ac:dyDescent="0.2">
      <c r="A6" s="74">
        <v>1</v>
      </c>
      <c r="B6" s="176" t="str">
        <f>VLOOKUP(A6,'Orçamento Desonerado'!$A$10:$L$734,4,FALSE)</f>
        <v>SERVIÇOS INICIAIS E ADMINISTRAÇÃO</v>
      </c>
      <c r="C6" s="76">
        <f>'Orçamento Desonerado'!J34</f>
        <v>0</v>
      </c>
      <c r="D6" s="76">
        <f>'Orçamento Desonerado'!K34</f>
        <v>0</v>
      </c>
      <c r="E6" s="77">
        <f>C6+D6</f>
        <v>0</v>
      </c>
      <c r="F6" s="77" t="e">
        <f>+E6/E25*100</f>
        <v>#DIV/0!</v>
      </c>
      <c r="G6" s="78">
        <f>+H6*$C6</f>
        <v>0</v>
      </c>
      <c r="H6" s="181">
        <v>0.17499999999999999</v>
      </c>
      <c r="I6" s="79">
        <f>+J6*$D6</f>
        <v>0</v>
      </c>
      <c r="J6" s="80">
        <f>H6</f>
        <v>0.17499999999999999</v>
      </c>
      <c r="K6" s="81">
        <f>+L6*$C6</f>
        <v>0</v>
      </c>
      <c r="L6" s="177">
        <v>0.09</v>
      </c>
      <c r="M6" s="79">
        <f>+N6*$D6</f>
        <v>0</v>
      </c>
      <c r="N6" s="80">
        <f>L6</f>
        <v>0.09</v>
      </c>
      <c r="O6" s="78">
        <f>+P6*$C6</f>
        <v>0</v>
      </c>
      <c r="P6" s="177">
        <v>0.09</v>
      </c>
      <c r="Q6" s="79">
        <f>+R6*$D6</f>
        <v>0</v>
      </c>
      <c r="R6" s="80">
        <f>P6</f>
        <v>0.09</v>
      </c>
      <c r="S6" s="81">
        <f>+T6*$C6</f>
        <v>0</v>
      </c>
      <c r="T6" s="177">
        <v>0.09</v>
      </c>
      <c r="U6" s="79">
        <f>+V6*$D6</f>
        <v>0</v>
      </c>
      <c r="V6" s="80">
        <f>T6</f>
        <v>0.09</v>
      </c>
      <c r="W6" s="78">
        <f>+X6*$C6</f>
        <v>0</v>
      </c>
      <c r="X6" s="177">
        <v>0.09</v>
      </c>
      <c r="Y6" s="79">
        <f>+Z6*$D6</f>
        <v>0</v>
      </c>
      <c r="Z6" s="80">
        <f>X6</f>
        <v>0.09</v>
      </c>
      <c r="AA6" s="81">
        <f>+AB6*$C6</f>
        <v>0</v>
      </c>
      <c r="AB6" s="82">
        <v>0.09</v>
      </c>
      <c r="AC6" s="76">
        <f>+AD6*$D6</f>
        <v>0</v>
      </c>
      <c r="AD6" s="80">
        <f>AB6</f>
        <v>0.09</v>
      </c>
      <c r="AE6" s="83">
        <f>+AF6*$C6</f>
        <v>0</v>
      </c>
      <c r="AF6" s="82">
        <v>0.09</v>
      </c>
      <c r="AG6" s="76">
        <f>+AH6*$D6</f>
        <v>0</v>
      </c>
      <c r="AH6" s="80">
        <f>AF6</f>
        <v>0.09</v>
      </c>
      <c r="AI6" s="83">
        <f>+AJ6*$C6</f>
        <v>0</v>
      </c>
      <c r="AJ6" s="82">
        <v>0.09</v>
      </c>
      <c r="AK6" s="76">
        <f>+AL6*$D6</f>
        <v>0</v>
      </c>
      <c r="AL6" s="80">
        <f>AJ6</f>
        <v>0.09</v>
      </c>
      <c r="AM6" s="83">
        <f>+AN6*$C6</f>
        <v>0</v>
      </c>
      <c r="AN6" s="82">
        <v>0.09</v>
      </c>
      <c r="AO6" s="76">
        <f>+AP6*$D6</f>
        <v>0</v>
      </c>
      <c r="AP6" s="80">
        <f>AN6</f>
        <v>0.09</v>
      </c>
      <c r="AQ6" s="83">
        <f>+AR6*$C6</f>
        <v>0</v>
      </c>
      <c r="AR6" s="82">
        <v>0.105</v>
      </c>
      <c r="AS6" s="76">
        <f>+AT6*$D6</f>
        <v>0</v>
      </c>
      <c r="AT6" s="80">
        <f>AR6</f>
        <v>0.105</v>
      </c>
      <c r="AU6" s="83">
        <f>+AV6*$C6</f>
        <v>0</v>
      </c>
      <c r="AV6" s="82">
        <v>0</v>
      </c>
      <c r="AW6" s="76">
        <f>+AX6*$D6</f>
        <v>0</v>
      </c>
      <c r="AX6" s="84">
        <v>0</v>
      </c>
      <c r="AY6" s="83">
        <f>+AZ6*$C6</f>
        <v>0</v>
      </c>
      <c r="AZ6" s="82">
        <v>0</v>
      </c>
      <c r="BA6" s="76">
        <f>+BB6*$D6</f>
        <v>0</v>
      </c>
      <c r="BB6" s="84">
        <v>0</v>
      </c>
      <c r="BC6" s="83">
        <f>+BD6*$C6</f>
        <v>0</v>
      </c>
      <c r="BD6" s="82">
        <v>0</v>
      </c>
      <c r="BE6" s="76">
        <f>+BF6*$D6</f>
        <v>0</v>
      </c>
      <c r="BF6" s="84">
        <v>0</v>
      </c>
      <c r="BG6" s="83">
        <f>+BH6*$C6</f>
        <v>0</v>
      </c>
      <c r="BH6" s="82">
        <v>0</v>
      </c>
      <c r="BI6" s="76">
        <f>+BJ6*$D6</f>
        <v>0</v>
      </c>
      <c r="BJ6" s="84">
        <v>0</v>
      </c>
      <c r="BK6" s="83">
        <f>+BL6*$C6</f>
        <v>0</v>
      </c>
      <c r="BL6" s="82">
        <v>0</v>
      </c>
      <c r="BM6" s="76">
        <f>+BN6*$D6</f>
        <v>0</v>
      </c>
      <c r="BN6" s="84">
        <v>0</v>
      </c>
      <c r="BO6" s="83">
        <f>+BP6*$C6</f>
        <v>0</v>
      </c>
      <c r="BP6" s="82">
        <v>0</v>
      </c>
      <c r="BQ6" s="76">
        <f>+BR6*$D6</f>
        <v>0</v>
      </c>
      <c r="BR6" s="84">
        <v>0</v>
      </c>
      <c r="BT6" s="85">
        <f t="shared" ref="BT6:BT22" si="0">+BP6+BL6+BH6+BD6+AZ6+AV6+AR6+AN6+AJ6+AF6+AB6+X6+T6+P6+L6+H6</f>
        <v>0.99999999999999978</v>
      </c>
      <c r="BU6" s="85">
        <f t="shared" ref="BU6:BU22" si="1">+BR6+BN6+BJ6+BF6+BB6+AX6+AT6+AP6+AL6+AH6+AD6+Z6+V6+R6+N6+J6</f>
        <v>0.99999999999999978</v>
      </c>
      <c r="BV6" s="44">
        <v>1</v>
      </c>
    </row>
    <row r="7" spans="1:74" s="93" customFormat="1" ht="10.95" customHeight="1" x14ac:dyDescent="0.2">
      <c r="A7" s="86">
        <v>2</v>
      </c>
      <c r="B7" s="195" t="str">
        <f>VLOOKUP(A7,'Orçamento Desonerado'!$A$10:$L$734,4,FALSE)</f>
        <v xml:space="preserve">DEMOLIÇÕES </v>
      </c>
      <c r="C7" s="196">
        <f>'Orçamento Desonerado'!J53</f>
        <v>0</v>
      </c>
      <c r="D7" s="196">
        <f>'Orçamento Desonerado'!K53</f>
        <v>0</v>
      </c>
      <c r="E7" s="87">
        <f t="shared" ref="E7:E22" si="2">C7+D7</f>
        <v>0</v>
      </c>
      <c r="F7" s="87" t="e">
        <f t="shared" ref="F7:F22" si="3">+E7/E$25*100</f>
        <v>#DIV/0!</v>
      </c>
      <c r="G7" s="88">
        <f t="shared" ref="G7:G22" si="4">+H7*$C7</f>
        <v>0</v>
      </c>
      <c r="H7" s="182">
        <v>0.7</v>
      </c>
      <c r="I7" s="90">
        <f t="shared" ref="I7:I22" si="5">+J7*$D7</f>
        <v>0</v>
      </c>
      <c r="J7" s="91">
        <f t="shared" ref="J7:J22" si="6">H7</f>
        <v>0.7</v>
      </c>
      <c r="K7" s="92">
        <f t="shared" ref="K7:K22" si="7">+L7*$C7</f>
        <v>0</v>
      </c>
      <c r="L7" s="89">
        <v>0.3</v>
      </c>
      <c r="M7" s="90">
        <f t="shared" ref="M7:M22" si="8">+N7*$D7</f>
        <v>0</v>
      </c>
      <c r="N7" s="91">
        <f t="shared" ref="N7:N22" si="9">L7</f>
        <v>0.3</v>
      </c>
      <c r="O7" s="88">
        <f t="shared" ref="O7:O22" si="10">+P7*$C7</f>
        <v>0</v>
      </c>
      <c r="P7" s="89"/>
      <c r="Q7" s="90">
        <f t="shared" ref="Q7:Q22" si="11">+R7*$D7</f>
        <v>0</v>
      </c>
      <c r="R7" s="91">
        <f t="shared" ref="R7:R22" si="12">P7</f>
        <v>0</v>
      </c>
      <c r="S7" s="92">
        <f t="shared" ref="S7:S22" si="13">+T7*$C7</f>
        <v>0</v>
      </c>
      <c r="T7" s="89"/>
      <c r="U7" s="90">
        <f t="shared" ref="U7:U22" si="14">+V7*$D7</f>
        <v>0</v>
      </c>
      <c r="V7" s="91">
        <f t="shared" ref="V7:V22" si="15">T7</f>
        <v>0</v>
      </c>
      <c r="W7" s="88">
        <f t="shared" ref="W7:W22" si="16">+X7*$C7</f>
        <v>0</v>
      </c>
      <c r="X7" s="89"/>
      <c r="Y7" s="90">
        <f t="shared" ref="Y7:Y22" si="17">+Z7*$D7</f>
        <v>0</v>
      </c>
      <c r="Z7" s="91">
        <f t="shared" ref="Z7:Z22" si="18">X7</f>
        <v>0</v>
      </c>
      <c r="AA7" s="92">
        <f t="shared" ref="AA7:AA22" si="19">+AB7*$C7</f>
        <v>0</v>
      </c>
      <c r="AB7" s="89"/>
      <c r="AC7" s="90">
        <f t="shared" ref="AC7:AC22" si="20">+AD7*$D7</f>
        <v>0</v>
      </c>
      <c r="AD7" s="91">
        <f t="shared" ref="AD7:AD22" si="21">AB7</f>
        <v>0</v>
      </c>
      <c r="AE7" s="88">
        <f t="shared" ref="AE7:AE22" si="22">+AF7*$C7</f>
        <v>0</v>
      </c>
      <c r="AF7" s="89"/>
      <c r="AG7" s="90">
        <f t="shared" ref="AG7:AG22" si="23">+AH7*$D7</f>
        <v>0</v>
      </c>
      <c r="AH7" s="91">
        <f t="shared" ref="AH7:AH22" si="24">AF7</f>
        <v>0</v>
      </c>
      <c r="AI7" s="88">
        <f t="shared" ref="AI7:AI22" si="25">+AJ7*$C7</f>
        <v>0</v>
      </c>
      <c r="AJ7" s="89"/>
      <c r="AK7" s="90">
        <f t="shared" ref="AK7:AK22" si="26">+AL7*$D7</f>
        <v>0</v>
      </c>
      <c r="AL7" s="91">
        <f t="shared" ref="AL7:AL22" si="27">AJ7</f>
        <v>0</v>
      </c>
      <c r="AM7" s="88">
        <f t="shared" ref="AM7:AM22" si="28">+AN7*$C7</f>
        <v>0</v>
      </c>
      <c r="AN7" s="89"/>
      <c r="AO7" s="90">
        <f t="shared" ref="AO7:AO22" si="29">+AP7*$D7</f>
        <v>0</v>
      </c>
      <c r="AP7" s="91">
        <f t="shared" ref="AP7:AP22" si="30">AN7</f>
        <v>0</v>
      </c>
      <c r="AQ7" s="88">
        <f t="shared" ref="AQ7:AQ22" si="31">+AR7*$C7</f>
        <v>0</v>
      </c>
      <c r="AR7" s="89"/>
      <c r="AS7" s="90">
        <f t="shared" ref="AS7:AS22" si="32">+AT7*$D7</f>
        <v>0</v>
      </c>
      <c r="AT7" s="91">
        <f t="shared" ref="AT7:AT22" si="33">AR7</f>
        <v>0</v>
      </c>
      <c r="AU7" s="88">
        <f t="shared" ref="AU7:AU22" si="34">+AV7*$C7</f>
        <v>0</v>
      </c>
      <c r="AV7" s="89">
        <v>0</v>
      </c>
      <c r="AW7" s="90">
        <f t="shared" ref="AW7:AW22" si="35">+AX7*$D7</f>
        <v>0</v>
      </c>
      <c r="AX7" s="91">
        <v>0</v>
      </c>
      <c r="AY7" s="88">
        <f t="shared" ref="AY7:AY22" si="36">+AZ7*$C7</f>
        <v>0</v>
      </c>
      <c r="AZ7" s="89">
        <v>0</v>
      </c>
      <c r="BA7" s="90">
        <f t="shared" ref="BA7:BA22" si="37">+BB7*$D7</f>
        <v>0</v>
      </c>
      <c r="BB7" s="91">
        <v>0</v>
      </c>
      <c r="BC7" s="88">
        <f t="shared" ref="BC7:BC22" si="38">+BD7*$C7</f>
        <v>0</v>
      </c>
      <c r="BD7" s="89">
        <v>0</v>
      </c>
      <c r="BE7" s="90">
        <f t="shared" ref="BE7:BE22" si="39">+BF7*$D7</f>
        <v>0</v>
      </c>
      <c r="BF7" s="91">
        <v>0</v>
      </c>
      <c r="BG7" s="88">
        <f t="shared" ref="BG7:BG22" si="40">+BH7*$C7</f>
        <v>0</v>
      </c>
      <c r="BH7" s="89">
        <v>0</v>
      </c>
      <c r="BI7" s="90">
        <f t="shared" ref="BI7:BI22" si="41">+BJ7*$D7</f>
        <v>0</v>
      </c>
      <c r="BJ7" s="91">
        <v>0</v>
      </c>
      <c r="BK7" s="88">
        <f t="shared" ref="BK7:BK22" si="42">+BL7*$C7</f>
        <v>0</v>
      </c>
      <c r="BL7" s="89">
        <v>0</v>
      </c>
      <c r="BM7" s="90">
        <f t="shared" ref="BM7:BM22" si="43">+BN7*$D7</f>
        <v>0</v>
      </c>
      <c r="BN7" s="91">
        <v>0</v>
      </c>
      <c r="BO7" s="88">
        <f t="shared" ref="BO7:BO22" si="44">+BP7*$C7</f>
        <v>0</v>
      </c>
      <c r="BP7" s="89">
        <v>0</v>
      </c>
      <c r="BQ7" s="90">
        <f t="shared" ref="BQ7:BQ22" si="45">+BR7*$D7</f>
        <v>0</v>
      </c>
      <c r="BR7" s="91">
        <v>0</v>
      </c>
      <c r="BT7" s="94">
        <f t="shared" si="0"/>
        <v>1</v>
      </c>
      <c r="BU7" s="94">
        <f t="shared" si="1"/>
        <v>1</v>
      </c>
      <c r="BV7" s="93">
        <v>2</v>
      </c>
    </row>
    <row r="8" spans="1:74" s="102" customFormat="1" ht="10.95" customHeight="1" x14ac:dyDescent="0.2">
      <c r="A8" s="74">
        <v>3</v>
      </c>
      <c r="B8" s="176" t="str">
        <f>VLOOKUP(A8,'Orçamento Desonerado'!$A$10:$L$734,4,FALSE)</f>
        <v>ESTRUTURA DE CONCRETO ARMADO</v>
      </c>
      <c r="C8" s="197">
        <f>'Orçamento Desonerado'!J115</f>
        <v>0</v>
      </c>
      <c r="D8" s="197">
        <f>'Orçamento Desonerado'!K115</f>
        <v>0</v>
      </c>
      <c r="E8" s="96">
        <f t="shared" si="2"/>
        <v>0</v>
      </c>
      <c r="F8" s="96" t="e">
        <f t="shared" si="3"/>
        <v>#DIV/0!</v>
      </c>
      <c r="G8" s="97">
        <f t="shared" si="4"/>
        <v>0</v>
      </c>
      <c r="H8" s="198"/>
      <c r="I8" s="99">
        <f t="shared" si="5"/>
        <v>0</v>
      </c>
      <c r="J8" s="100">
        <f t="shared" si="6"/>
        <v>0</v>
      </c>
      <c r="K8" s="101">
        <f t="shared" si="7"/>
        <v>0</v>
      </c>
      <c r="L8" s="178">
        <v>0.1</v>
      </c>
      <c r="M8" s="99">
        <f t="shared" si="8"/>
        <v>0</v>
      </c>
      <c r="N8" s="100">
        <f t="shared" si="9"/>
        <v>0.1</v>
      </c>
      <c r="O8" s="97">
        <f t="shared" si="10"/>
        <v>0</v>
      </c>
      <c r="P8" s="178">
        <v>0.3</v>
      </c>
      <c r="Q8" s="99">
        <f t="shared" si="11"/>
        <v>0</v>
      </c>
      <c r="R8" s="100">
        <f t="shared" si="12"/>
        <v>0.3</v>
      </c>
      <c r="S8" s="101">
        <f t="shared" si="13"/>
        <v>0</v>
      </c>
      <c r="T8" s="178">
        <v>0.3</v>
      </c>
      <c r="U8" s="99">
        <f t="shared" si="14"/>
        <v>0</v>
      </c>
      <c r="V8" s="100">
        <f t="shared" si="15"/>
        <v>0.3</v>
      </c>
      <c r="W8" s="97">
        <f t="shared" si="16"/>
        <v>0</v>
      </c>
      <c r="X8" s="178">
        <v>0.2</v>
      </c>
      <c r="Y8" s="99">
        <f t="shared" si="17"/>
        <v>0</v>
      </c>
      <c r="Z8" s="100">
        <f t="shared" si="18"/>
        <v>0.2</v>
      </c>
      <c r="AA8" s="101">
        <f t="shared" si="19"/>
        <v>0</v>
      </c>
      <c r="AB8" s="178">
        <v>0.1</v>
      </c>
      <c r="AC8" s="99">
        <f t="shared" si="20"/>
        <v>0</v>
      </c>
      <c r="AD8" s="100">
        <f t="shared" si="21"/>
        <v>0.1</v>
      </c>
      <c r="AE8" s="97">
        <f t="shared" si="22"/>
        <v>0</v>
      </c>
      <c r="AF8" s="178"/>
      <c r="AG8" s="99">
        <f t="shared" si="23"/>
        <v>0</v>
      </c>
      <c r="AH8" s="100">
        <f t="shared" si="24"/>
        <v>0</v>
      </c>
      <c r="AI8" s="97">
        <f t="shared" si="25"/>
        <v>0</v>
      </c>
      <c r="AJ8" s="178"/>
      <c r="AK8" s="99">
        <f t="shared" si="26"/>
        <v>0</v>
      </c>
      <c r="AL8" s="100">
        <f t="shared" si="27"/>
        <v>0</v>
      </c>
      <c r="AM8" s="97">
        <f t="shared" si="28"/>
        <v>0</v>
      </c>
      <c r="AN8" s="178"/>
      <c r="AO8" s="99">
        <f t="shared" si="29"/>
        <v>0</v>
      </c>
      <c r="AP8" s="100">
        <f t="shared" si="30"/>
        <v>0</v>
      </c>
      <c r="AQ8" s="97">
        <f t="shared" si="31"/>
        <v>0</v>
      </c>
      <c r="AR8" s="178"/>
      <c r="AS8" s="99">
        <f t="shared" si="32"/>
        <v>0</v>
      </c>
      <c r="AT8" s="100">
        <f t="shared" si="33"/>
        <v>0</v>
      </c>
      <c r="AU8" s="97">
        <f t="shared" si="34"/>
        <v>0</v>
      </c>
      <c r="AV8" s="178">
        <v>0</v>
      </c>
      <c r="AW8" s="99">
        <f t="shared" si="35"/>
        <v>0</v>
      </c>
      <c r="AX8" s="100">
        <v>0</v>
      </c>
      <c r="AY8" s="97">
        <f t="shared" si="36"/>
        <v>0</v>
      </c>
      <c r="AZ8" s="178">
        <v>0</v>
      </c>
      <c r="BA8" s="99">
        <f t="shared" si="37"/>
        <v>0</v>
      </c>
      <c r="BB8" s="100">
        <v>0</v>
      </c>
      <c r="BC8" s="97">
        <f t="shared" si="38"/>
        <v>0</v>
      </c>
      <c r="BD8" s="178">
        <v>0</v>
      </c>
      <c r="BE8" s="99">
        <f t="shared" si="39"/>
        <v>0</v>
      </c>
      <c r="BF8" s="100">
        <v>0</v>
      </c>
      <c r="BG8" s="97">
        <f t="shared" si="40"/>
        <v>0</v>
      </c>
      <c r="BH8" s="178">
        <v>0</v>
      </c>
      <c r="BI8" s="99">
        <f t="shared" si="41"/>
        <v>0</v>
      </c>
      <c r="BJ8" s="100">
        <v>0</v>
      </c>
      <c r="BK8" s="97">
        <f t="shared" si="42"/>
        <v>0</v>
      </c>
      <c r="BL8" s="178">
        <v>0</v>
      </c>
      <c r="BM8" s="99">
        <f t="shared" si="43"/>
        <v>0</v>
      </c>
      <c r="BN8" s="100">
        <v>0</v>
      </c>
      <c r="BO8" s="97">
        <f t="shared" si="44"/>
        <v>0</v>
      </c>
      <c r="BP8" s="178">
        <v>0</v>
      </c>
      <c r="BQ8" s="99">
        <f t="shared" si="45"/>
        <v>0</v>
      </c>
      <c r="BR8" s="100">
        <v>0</v>
      </c>
      <c r="BT8" s="85">
        <f t="shared" si="0"/>
        <v>1.0000000000000002</v>
      </c>
      <c r="BU8" s="85">
        <f t="shared" si="1"/>
        <v>1.0000000000000002</v>
      </c>
      <c r="BV8" s="102">
        <v>3</v>
      </c>
    </row>
    <row r="9" spans="1:74" s="104" customFormat="1" ht="10.95" customHeight="1" x14ac:dyDescent="0.2">
      <c r="A9" s="86">
        <v>4</v>
      </c>
      <c r="B9" s="195" t="str">
        <f>VLOOKUP(A9,'Orçamento Desonerado'!$A$10:$L$734,4,FALSE)</f>
        <v>PAREDES, PAINEIS E ELEMENTOS DIVISÓRIOS</v>
      </c>
      <c r="C9" s="196">
        <f>'Orçamento Desonerado'!J129</f>
        <v>0</v>
      </c>
      <c r="D9" s="196">
        <f>'Orçamento Desonerado'!K129</f>
        <v>0</v>
      </c>
      <c r="E9" s="87">
        <f t="shared" si="2"/>
        <v>0</v>
      </c>
      <c r="F9" s="87" t="e">
        <f t="shared" si="3"/>
        <v>#DIV/0!</v>
      </c>
      <c r="G9" s="88">
        <f t="shared" si="4"/>
        <v>0</v>
      </c>
      <c r="H9" s="182"/>
      <c r="I9" s="90">
        <f t="shared" si="5"/>
        <v>0</v>
      </c>
      <c r="J9" s="91">
        <f t="shared" si="6"/>
        <v>0</v>
      </c>
      <c r="K9" s="92">
        <f t="shared" si="7"/>
        <v>0</v>
      </c>
      <c r="L9" s="89"/>
      <c r="M9" s="90">
        <f t="shared" si="8"/>
        <v>0</v>
      </c>
      <c r="N9" s="91">
        <f t="shared" si="9"/>
        <v>0</v>
      </c>
      <c r="O9" s="88">
        <f t="shared" si="10"/>
        <v>0</v>
      </c>
      <c r="P9" s="89"/>
      <c r="Q9" s="90">
        <f t="shared" si="11"/>
        <v>0</v>
      </c>
      <c r="R9" s="91">
        <f t="shared" si="12"/>
        <v>0</v>
      </c>
      <c r="S9" s="92">
        <f t="shared" si="13"/>
        <v>0</v>
      </c>
      <c r="T9" s="89"/>
      <c r="U9" s="90">
        <f t="shared" si="14"/>
        <v>0</v>
      </c>
      <c r="V9" s="91">
        <f t="shared" si="15"/>
        <v>0</v>
      </c>
      <c r="W9" s="88">
        <f t="shared" si="16"/>
        <v>0</v>
      </c>
      <c r="X9" s="89"/>
      <c r="Y9" s="90">
        <f t="shared" si="17"/>
        <v>0</v>
      </c>
      <c r="Z9" s="91">
        <f t="shared" si="18"/>
        <v>0</v>
      </c>
      <c r="AA9" s="92">
        <f t="shared" si="19"/>
        <v>0</v>
      </c>
      <c r="AB9" s="89">
        <v>0.15</v>
      </c>
      <c r="AC9" s="90">
        <f t="shared" si="20"/>
        <v>0</v>
      </c>
      <c r="AD9" s="91">
        <f t="shared" si="21"/>
        <v>0.15</v>
      </c>
      <c r="AE9" s="88">
        <f t="shared" si="22"/>
        <v>0</v>
      </c>
      <c r="AF9" s="89">
        <v>0.5</v>
      </c>
      <c r="AG9" s="90">
        <f t="shared" si="23"/>
        <v>0</v>
      </c>
      <c r="AH9" s="91">
        <f t="shared" si="24"/>
        <v>0.5</v>
      </c>
      <c r="AI9" s="88">
        <f t="shared" si="25"/>
        <v>0</v>
      </c>
      <c r="AJ9" s="89">
        <v>0.35</v>
      </c>
      <c r="AK9" s="90">
        <f t="shared" si="26"/>
        <v>0</v>
      </c>
      <c r="AL9" s="91">
        <f t="shared" si="27"/>
        <v>0.35</v>
      </c>
      <c r="AM9" s="88">
        <f t="shared" si="28"/>
        <v>0</v>
      </c>
      <c r="AN9" s="89"/>
      <c r="AO9" s="90">
        <f t="shared" si="29"/>
        <v>0</v>
      </c>
      <c r="AP9" s="91">
        <f t="shared" si="30"/>
        <v>0</v>
      </c>
      <c r="AQ9" s="88">
        <f t="shared" si="31"/>
        <v>0</v>
      </c>
      <c r="AR9" s="89"/>
      <c r="AS9" s="90">
        <f t="shared" si="32"/>
        <v>0</v>
      </c>
      <c r="AT9" s="91">
        <f t="shared" si="33"/>
        <v>0</v>
      </c>
      <c r="AU9" s="88">
        <f t="shared" si="34"/>
        <v>0</v>
      </c>
      <c r="AV9" s="89">
        <v>0</v>
      </c>
      <c r="AW9" s="90">
        <f t="shared" si="35"/>
        <v>0</v>
      </c>
      <c r="AX9" s="91">
        <v>0</v>
      </c>
      <c r="AY9" s="88">
        <f t="shared" si="36"/>
        <v>0</v>
      </c>
      <c r="AZ9" s="89">
        <v>0</v>
      </c>
      <c r="BA9" s="90">
        <f t="shared" si="37"/>
        <v>0</v>
      </c>
      <c r="BB9" s="91">
        <v>0</v>
      </c>
      <c r="BC9" s="88">
        <f t="shared" si="38"/>
        <v>0</v>
      </c>
      <c r="BD9" s="89">
        <v>0</v>
      </c>
      <c r="BE9" s="90">
        <f t="shared" si="39"/>
        <v>0</v>
      </c>
      <c r="BF9" s="91">
        <v>0</v>
      </c>
      <c r="BG9" s="88">
        <f t="shared" si="40"/>
        <v>0</v>
      </c>
      <c r="BH9" s="89">
        <v>0</v>
      </c>
      <c r="BI9" s="90">
        <f t="shared" si="41"/>
        <v>0</v>
      </c>
      <c r="BJ9" s="91">
        <v>0</v>
      </c>
      <c r="BK9" s="88">
        <f t="shared" si="42"/>
        <v>0</v>
      </c>
      <c r="BL9" s="89">
        <v>0</v>
      </c>
      <c r="BM9" s="90">
        <f t="shared" si="43"/>
        <v>0</v>
      </c>
      <c r="BN9" s="91">
        <v>0</v>
      </c>
      <c r="BO9" s="88">
        <f t="shared" si="44"/>
        <v>0</v>
      </c>
      <c r="BP9" s="89">
        <v>0</v>
      </c>
      <c r="BQ9" s="90">
        <f t="shared" si="45"/>
        <v>0</v>
      </c>
      <c r="BR9" s="91">
        <v>0</v>
      </c>
      <c r="BT9" s="94">
        <f t="shared" si="0"/>
        <v>1</v>
      </c>
      <c r="BU9" s="94">
        <f t="shared" si="1"/>
        <v>1</v>
      </c>
      <c r="BV9" s="104">
        <v>4</v>
      </c>
    </row>
    <row r="10" spans="1:74" s="102" customFormat="1" ht="10.95" customHeight="1" x14ac:dyDescent="0.2">
      <c r="A10" s="74">
        <v>5</v>
      </c>
      <c r="B10" s="176" t="str">
        <f>VLOOKUP(A10,'Orçamento Desonerado'!$A$10:$L$734,4,FALSE)</f>
        <v>COBERTURAS E PROTEÇÕES</v>
      </c>
      <c r="C10" s="197">
        <f>'Orçamento Desonerado'!J141</f>
        <v>0</v>
      </c>
      <c r="D10" s="197">
        <f>'Orçamento Desonerado'!K141</f>
        <v>0</v>
      </c>
      <c r="E10" s="96">
        <f t="shared" si="2"/>
        <v>0</v>
      </c>
      <c r="F10" s="96" t="e">
        <f t="shared" si="3"/>
        <v>#DIV/0!</v>
      </c>
      <c r="G10" s="97">
        <f t="shared" si="4"/>
        <v>0</v>
      </c>
      <c r="H10" s="198"/>
      <c r="I10" s="99">
        <f t="shared" si="5"/>
        <v>0</v>
      </c>
      <c r="J10" s="100">
        <f t="shared" si="6"/>
        <v>0</v>
      </c>
      <c r="K10" s="101">
        <f t="shared" si="7"/>
        <v>0</v>
      </c>
      <c r="L10" s="178"/>
      <c r="M10" s="99">
        <f t="shared" si="8"/>
        <v>0</v>
      </c>
      <c r="N10" s="100">
        <f t="shared" si="9"/>
        <v>0</v>
      </c>
      <c r="O10" s="97">
        <f t="shared" si="10"/>
        <v>0</v>
      </c>
      <c r="P10" s="178"/>
      <c r="Q10" s="99">
        <f t="shared" si="11"/>
        <v>0</v>
      </c>
      <c r="R10" s="100">
        <f t="shared" si="12"/>
        <v>0</v>
      </c>
      <c r="S10" s="101">
        <f t="shared" si="13"/>
        <v>0</v>
      </c>
      <c r="T10" s="178"/>
      <c r="U10" s="99">
        <f t="shared" si="14"/>
        <v>0</v>
      </c>
      <c r="V10" s="100">
        <f t="shared" si="15"/>
        <v>0</v>
      </c>
      <c r="W10" s="97">
        <f t="shared" si="16"/>
        <v>0</v>
      </c>
      <c r="X10" s="178"/>
      <c r="Y10" s="99">
        <f t="shared" si="17"/>
        <v>0</v>
      </c>
      <c r="Z10" s="100">
        <f t="shared" si="18"/>
        <v>0</v>
      </c>
      <c r="AA10" s="101">
        <f t="shared" si="19"/>
        <v>0</v>
      </c>
      <c r="AB10" s="178">
        <v>0.1</v>
      </c>
      <c r="AC10" s="99">
        <f t="shared" si="20"/>
        <v>0</v>
      </c>
      <c r="AD10" s="100">
        <f t="shared" si="21"/>
        <v>0.1</v>
      </c>
      <c r="AE10" s="97">
        <f t="shared" si="22"/>
        <v>0</v>
      </c>
      <c r="AF10" s="178">
        <v>0.2</v>
      </c>
      <c r="AG10" s="99">
        <f t="shared" si="23"/>
        <v>0</v>
      </c>
      <c r="AH10" s="100">
        <f t="shared" si="24"/>
        <v>0.2</v>
      </c>
      <c r="AI10" s="97">
        <f t="shared" si="25"/>
        <v>0</v>
      </c>
      <c r="AJ10" s="178">
        <v>0.4</v>
      </c>
      <c r="AK10" s="99">
        <f t="shared" si="26"/>
        <v>0</v>
      </c>
      <c r="AL10" s="100">
        <f t="shared" si="27"/>
        <v>0.4</v>
      </c>
      <c r="AM10" s="97">
        <f t="shared" si="28"/>
        <v>0</v>
      </c>
      <c r="AN10" s="178">
        <v>0.3</v>
      </c>
      <c r="AO10" s="99">
        <f t="shared" si="29"/>
        <v>0</v>
      </c>
      <c r="AP10" s="100">
        <f t="shared" si="30"/>
        <v>0.3</v>
      </c>
      <c r="AQ10" s="97">
        <f t="shared" si="31"/>
        <v>0</v>
      </c>
      <c r="AR10" s="178"/>
      <c r="AS10" s="99">
        <f t="shared" si="32"/>
        <v>0</v>
      </c>
      <c r="AT10" s="100">
        <f t="shared" si="33"/>
        <v>0</v>
      </c>
      <c r="AU10" s="97">
        <f t="shared" si="34"/>
        <v>0</v>
      </c>
      <c r="AV10" s="178">
        <v>0</v>
      </c>
      <c r="AW10" s="99">
        <f t="shared" si="35"/>
        <v>0</v>
      </c>
      <c r="AX10" s="100">
        <v>0</v>
      </c>
      <c r="AY10" s="97">
        <f t="shared" si="36"/>
        <v>0</v>
      </c>
      <c r="AZ10" s="178">
        <v>0</v>
      </c>
      <c r="BA10" s="99">
        <f t="shared" si="37"/>
        <v>0</v>
      </c>
      <c r="BB10" s="100">
        <v>0</v>
      </c>
      <c r="BC10" s="97">
        <f t="shared" si="38"/>
        <v>0</v>
      </c>
      <c r="BD10" s="178">
        <v>0</v>
      </c>
      <c r="BE10" s="99">
        <f t="shared" si="39"/>
        <v>0</v>
      </c>
      <c r="BF10" s="100">
        <v>0</v>
      </c>
      <c r="BG10" s="97">
        <f t="shared" si="40"/>
        <v>0</v>
      </c>
      <c r="BH10" s="178">
        <v>0</v>
      </c>
      <c r="BI10" s="99">
        <f t="shared" si="41"/>
        <v>0</v>
      </c>
      <c r="BJ10" s="100">
        <v>0</v>
      </c>
      <c r="BK10" s="97">
        <f t="shared" si="42"/>
        <v>0</v>
      </c>
      <c r="BL10" s="178">
        <v>0</v>
      </c>
      <c r="BM10" s="99">
        <f t="shared" si="43"/>
        <v>0</v>
      </c>
      <c r="BN10" s="100">
        <v>0</v>
      </c>
      <c r="BO10" s="97">
        <f t="shared" si="44"/>
        <v>0</v>
      </c>
      <c r="BP10" s="178">
        <v>0</v>
      </c>
      <c r="BQ10" s="99">
        <f t="shared" si="45"/>
        <v>0</v>
      </c>
      <c r="BR10" s="100">
        <v>0</v>
      </c>
      <c r="BT10" s="85">
        <f t="shared" si="0"/>
        <v>0.99999999999999989</v>
      </c>
      <c r="BU10" s="85">
        <f t="shared" si="1"/>
        <v>0.99999999999999989</v>
      </c>
      <c r="BV10" s="102">
        <v>5</v>
      </c>
    </row>
    <row r="11" spans="1:74" s="104" customFormat="1" ht="10.95" customHeight="1" x14ac:dyDescent="0.2">
      <c r="A11" s="86">
        <v>6</v>
      </c>
      <c r="B11" s="195" t="str">
        <f>VLOOKUP(A11,'Orçamento Desonerado'!$A$10:$L$734,4,FALSE)</f>
        <v>IMPERMEABILIZAÇÕES</v>
      </c>
      <c r="C11" s="196">
        <f>'Orçamento Desonerado'!J148</f>
        <v>0</v>
      </c>
      <c r="D11" s="196">
        <f>'Orçamento Desonerado'!K148</f>
        <v>0</v>
      </c>
      <c r="E11" s="87">
        <f t="shared" si="2"/>
        <v>0</v>
      </c>
      <c r="F11" s="87" t="e">
        <f t="shared" si="3"/>
        <v>#DIV/0!</v>
      </c>
      <c r="G11" s="88">
        <f t="shared" si="4"/>
        <v>0</v>
      </c>
      <c r="H11" s="182"/>
      <c r="I11" s="90">
        <f t="shared" si="5"/>
        <v>0</v>
      </c>
      <c r="J11" s="91">
        <f t="shared" si="6"/>
        <v>0</v>
      </c>
      <c r="K11" s="92">
        <f t="shared" si="7"/>
        <v>0</v>
      </c>
      <c r="L11" s="89"/>
      <c r="M11" s="90">
        <f t="shared" si="8"/>
        <v>0</v>
      </c>
      <c r="N11" s="91">
        <f t="shared" si="9"/>
        <v>0</v>
      </c>
      <c r="O11" s="88">
        <f t="shared" si="10"/>
        <v>0</v>
      </c>
      <c r="P11" s="89"/>
      <c r="Q11" s="90">
        <f t="shared" si="11"/>
        <v>0</v>
      </c>
      <c r="R11" s="91">
        <f t="shared" si="12"/>
        <v>0</v>
      </c>
      <c r="S11" s="92">
        <f t="shared" si="13"/>
        <v>0</v>
      </c>
      <c r="T11" s="89"/>
      <c r="U11" s="90">
        <f t="shared" si="14"/>
        <v>0</v>
      </c>
      <c r="V11" s="91">
        <f t="shared" si="15"/>
        <v>0</v>
      </c>
      <c r="W11" s="88">
        <f t="shared" si="16"/>
        <v>0</v>
      </c>
      <c r="X11" s="89">
        <v>0.2</v>
      </c>
      <c r="Y11" s="90">
        <f t="shared" si="17"/>
        <v>0</v>
      </c>
      <c r="Z11" s="91">
        <f t="shared" si="18"/>
        <v>0.2</v>
      </c>
      <c r="AA11" s="92">
        <f t="shared" si="19"/>
        <v>0</v>
      </c>
      <c r="AB11" s="89"/>
      <c r="AC11" s="90">
        <f t="shared" si="20"/>
        <v>0</v>
      </c>
      <c r="AD11" s="91">
        <f t="shared" si="21"/>
        <v>0</v>
      </c>
      <c r="AE11" s="88">
        <f t="shared" si="22"/>
        <v>0</v>
      </c>
      <c r="AF11" s="89"/>
      <c r="AG11" s="90">
        <f t="shared" si="23"/>
        <v>0</v>
      </c>
      <c r="AH11" s="91">
        <f t="shared" si="24"/>
        <v>0</v>
      </c>
      <c r="AI11" s="88">
        <f t="shared" si="25"/>
        <v>0</v>
      </c>
      <c r="AJ11" s="89">
        <v>0.5</v>
      </c>
      <c r="AK11" s="90">
        <f t="shared" si="26"/>
        <v>0</v>
      </c>
      <c r="AL11" s="91">
        <f t="shared" si="27"/>
        <v>0.5</v>
      </c>
      <c r="AM11" s="88">
        <f t="shared" si="28"/>
        <v>0</v>
      </c>
      <c r="AN11" s="89">
        <v>0.3</v>
      </c>
      <c r="AO11" s="90">
        <f t="shared" si="29"/>
        <v>0</v>
      </c>
      <c r="AP11" s="91">
        <f t="shared" si="30"/>
        <v>0.3</v>
      </c>
      <c r="AQ11" s="88">
        <f t="shared" si="31"/>
        <v>0</v>
      </c>
      <c r="AR11" s="89"/>
      <c r="AS11" s="90">
        <f t="shared" si="32"/>
        <v>0</v>
      </c>
      <c r="AT11" s="91">
        <f t="shared" si="33"/>
        <v>0</v>
      </c>
      <c r="AU11" s="88">
        <f t="shared" si="34"/>
        <v>0</v>
      </c>
      <c r="AV11" s="89">
        <v>0</v>
      </c>
      <c r="AW11" s="90">
        <f t="shared" si="35"/>
        <v>0</v>
      </c>
      <c r="AX11" s="91">
        <v>0</v>
      </c>
      <c r="AY11" s="88">
        <f t="shared" si="36"/>
        <v>0</v>
      </c>
      <c r="AZ11" s="89">
        <v>0</v>
      </c>
      <c r="BA11" s="90">
        <f t="shared" si="37"/>
        <v>0</v>
      </c>
      <c r="BB11" s="91">
        <v>0</v>
      </c>
      <c r="BC11" s="88">
        <f t="shared" si="38"/>
        <v>0</v>
      </c>
      <c r="BD11" s="89">
        <v>0</v>
      </c>
      <c r="BE11" s="90">
        <f t="shared" si="39"/>
        <v>0</v>
      </c>
      <c r="BF11" s="91">
        <v>0</v>
      </c>
      <c r="BG11" s="88">
        <f t="shared" si="40"/>
        <v>0</v>
      </c>
      <c r="BH11" s="89">
        <v>0</v>
      </c>
      <c r="BI11" s="90">
        <f t="shared" si="41"/>
        <v>0</v>
      </c>
      <c r="BJ11" s="91">
        <v>0</v>
      </c>
      <c r="BK11" s="88">
        <f t="shared" si="42"/>
        <v>0</v>
      </c>
      <c r="BL11" s="89">
        <v>0</v>
      </c>
      <c r="BM11" s="90">
        <f t="shared" si="43"/>
        <v>0</v>
      </c>
      <c r="BN11" s="91">
        <v>0</v>
      </c>
      <c r="BO11" s="88">
        <f t="shared" si="44"/>
        <v>0</v>
      </c>
      <c r="BP11" s="89">
        <v>0</v>
      </c>
      <c r="BQ11" s="90">
        <f t="shared" si="45"/>
        <v>0</v>
      </c>
      <c r="BR11" s="91">
        <v>0</v>
      </c>
      <c r="BT11" s="94">
        <f t="shared" si="0"/>
        <v>1</v>
      </c>
      <c r="BU11" s="94">
        <f t="shared" si="1"/>
        <v>1</v>
      </c>
      <c r="BV11" s="104">
        <v>6</v>
      </c>
    </row>
    <row r="12" spans="1:74" s="102" customFormat="1" ht="10.95" customHeight="1" x14ac:dyDescent="0.2">
      <c r="A12" s="74">
        <v>7</v>
      </c>
      <c r="B12" s="176" t="str">
        <f>VLOOKUP(A12,'Orçamento Desonerado'!$A$10:$L$734,4,FALSE)</f>
        <v>REVESTIMENTOS DE PAREDES</v>
      </c>
      <c r="C12" s="197">
        <f>'Orçamento Desonerado'!J165</f>
        <v>0</v>
      </c>
      <c r="D12" s="197">
        <f>'Orçamento Desonerado'!K165</f>
        <v>0</v>
      </c>
      <c r="E12" s="96">
        <f t="shared" si="2"/>
        <v>0</v>
      </c>
      <c r="F12" s="96" t="e">
        <f t="shared" si="3"/>
        <v>#DIV/0!</v>
      </c>
      <c r="G12" s="97">
        <f t="shared" si="4"/>
        <v>0</v>
      </c>
      <c r="H12" s="198"/>
      <c r="I12" s="99">
        <f t="shared" si="5"/>
        <v>0</v>
      </c>
      <c r="J12" s="100">
        <f t="shared" si="6"/>
        <v>0</v>
      </c>
      <c r="K12" s="101">
        <f t="shared" si="7"/>
        <v>0</v>
      </c>
      <c r="L12" s="178"/>
      <c r="M12" s="99">
        <f t="shared" si="8"/>
        <v>0</v>
      </c>
      <c r="N12" s="100">
        <f t="shared" si="9"/>
        <v>0</v>
      </c>
      <c r="O12" s="97">
        <f t="shared" si="10"/>
        <v>0</v>
      </c>
      <c r="P12" s="178"/>
      <c r="Q12" s="99">
        <f t="shared" si="11"/>
        <v>0</v>
      </c>
      <c r="R12" s="100">
        <f t="shared" si="12"/>
        <v>0</v>
      </c>
      <c r="S12" s="101">
        <f t="shared" si="13"/>
        <v>0</v>
      </c>
      <c r="T12" s="178"/>
      <c r="U12" s="99">
        <f t="shared" si="14"/>
        <v>0</v>
      </c>
      <c r="V12" s="100">
        <f t="shared" si="15"/>
        <v>0</v>
      </c>
      <c r="W12" s="97">
        <f t="shared" si="16"/>
        <v>0</v>
      </c>
      <c r="X12" s="178"/>
      <c r="Y12" s="99">
        <f t="shared" si="17"/>
        <v>0</v>
      </c>
      <c r="Z12" s="100">
        <f t="shared" si="18"/>
        <v>0</v>
      </c>
      <c r="AA12" s="101">
        <f t="shared" si="19"/>
        <v>0</v>
      </c>
      <c r="AB12" s="178"/>
      <c r="AC12" s="99">
        <f t="shared" si="20"/>
        <v>0</v>
      </c>
      <c r="AD12" s="100">
        <f t="shared" si="21"/>
        <v>0</v>
      </c>
      <c r="AE12" s="97">
        <f t="shared" si="22"/>
        <v>0</v>
      </c>
      <c r="AF12" s="178">
        <v>0.3</v>
      </c>
      <c r="AG12" s="99">
        <f t="shared" si="23"/>
        <v>0</v>
      </c>
      <c r="AH12" s="100">
        <f t="shared" si="24"/>
        <v>0.3</v>
      </c>
      <c r="AI12" s="97">
        <f t="shared" si="25"/>
        <v>0</v>
      </c>
      <c r="AJ12" s="178">
        <v>0.3</v>
      </c>
      <c r="AK12" s="99">
        <f t="shared" si="26"/>
        <v>0</v>
      </c>
      <c r="AL12" s="100">
        <f t="shared" si="27"/>
        <v>0.3</v>
      </c>
      <c r="AM12" s="97">
        <f t="shared" si="28"/>
        <v>0</v>
      </c>
      <c r="AN12" s="178">
        <v>0.2</v>
      </c>
      <c r="AO12" s="99">
        <f t="shared" si="29"/>
        <v>0</v>
      </c>
      <c r="AP12" s="100">
        <f t="shared" si="30"/>
        <v>0.2</v>
      </c>
      <c r="AQ12" s="97">
        <f t="shared" si="31"/>
        <v>0</v>
      </c>
      <c r="AR12" s="178">
        <v>0.2</v>
      </c>
      <c r="AS12" s="99">
        <f t="shared" si="32"/>
        <v>0</v>
      </c>
      <c r="AT12" s="100">
        <f t="shared" si="33"/>
        <v>0.2</v>
      </c>
      <c r="AU12" s="97">
        <f t="shared" si="34"/>
        <v>0</v>
      </c>
      <c r="AV12" s="178">
        <v>0</v>
      </c>
      <c r="AW12" s="99">
        <f t="shared" si="35"/>
        <v>0</v>
      </c>
      <c r="AX12" s="100">
        <v>0</v>
      </c>
      <c r="AY12" s="97">
        <f t="shared" si="36"/>
        <v>0</v>
      </c>
      <c r="AZ12" s="178">
        <v>0</v>
      </c>
      <c r="BA12" s="99">
        <f t="shared" si="37"/>
        <v>0</v>
      </c>
      <c r="BB12" s="100">
        <v>0</v>
      </c>
      <c r="BC12" s="97">
        <f t="shared" si="38"/>
        <v>0</v>
      </c>
      <c r="BD12" s="178">
        <v>0</v>
      </c>
      <c r="BE12" s="99">
        <f t="shared" si="39"/>
        <v>0</v>
      </c>
      <c r="BF12" s="100">
        <v>0</v>
      </c>
      <c r="BG12" s="97">
        <f t="shared" si="40"/>
        <v>0</v>
      </c>
      <c r="BH12" s="178">
        <v>0</v>
      </c>
      <c r="BI12" s="99">
        <f t="shared" si="41"/>
        <v>0</v>
      </c>
      <c r="BJ12" s="100">
        <v>0</v>
      </c>
      <c r="BK12" s="97">
        <f t="shared" si="42"/>
        <v>0</v>
      </c>
      <c r="BL12" s="178">
        <v>0</v>
      </c>
      <c r="BM12" s="99">
        <f t="shared" si="43"/>
        <v>0</v>
      </c>
      <c r="BN12" s="100">
        <v>0</v>
      </c>
      <c r="BO12" s="97">
        <f t="shared" si="44"/>
        <v>0</v>
      </c>
      <c r="BP12" s="178">
        <v>0</v>
      </c>
      <c r="BQ12" s="99">
        <f t="shared" si="45"/>
        <v>0</v>
      </c>
      <c r="BR12" s="100">
        <v>0</v>
      </c>
      <c r="BT12" s="85">
        <f t="shared" si="0"/>
        <v>1</v>
      </c>
      <c r="BU12" s="85">
        <f t="shared" si="1"/>
        <v>1</v>
      </c>
      <c r="BV12" s="102">
        <v>7</v>
      </c>
    </row>
    <row r="13" spans="1:74" s="104" customFormat="1" ht="10.95" customHeight="1" x14ac:dyDescent="0.2">
      <c r="A13" s="86">
        <v>8</v>
      </c>
      <c r="B13" s="195" t="str">
        <f>VLOOKUP(A13,'Orçamento Desonerado'!$A$10:$L$734,4,FALSE)</f>
        <v>TETOS E FORROS</v>
      </c>
      <c r="C13" s="196">
        <f>'Orçamento Desonerado'!J177</f>
        <v>0</v>
      </c>
      <c r="D13" s="196">
        <f>'Orçamento Desonerado'!K177</f>
        <v>0</v>
      </c>
      <c r="E13" s="87">
        <f t="shared" si="2"/>
        <v>0</v>
      </c>
      <c r="F13" s="87" t="e">
        <f t="shared" si="3"/>
        <v>#DIV/0!</v>
      </c>
      <c r="G13" s="88">
        <f t="shared" si="4"/>
        <v>0</v>
      </c>
      <c r="H13" s="182"/>
      <c r="I13" s="90">
        <f t="shared" si="5"/>
        <v>0</v>
      </c>
      <c r="J13" s="91">
        <f t="shared" si="6"/>
        <v>0</v>
      </c>
      <c r="K13" s="92">
        <f t="shared" si="7"/>
        <v>0</v>
      </c>
      <c r="L13" s="89"/>
      <c r="M13" s="90">
        <f t="shared" si="8"/>
        <v>0</v>
      </c>
      <c r="N13" s="91">
        <f t="shared" si="9"/>
        <v>0</v>
      </c>
      <c r="O13" s="88">
        <f t="shared" si="10"/>
        <v>0</v>
      </c>
      <c r="P13" s="89"/>
      <c r="Q13" s="90">
        <f t="shared" si="11"/>
        <v>0</v>
      </c>
      <c r="R13" s="91">
        <f t="shared" si="12"/>
        <v>0</v>
      </c>
      <c r="S13" s="92">
        <f t="shared" si="13"/>
        <v>0</v>
      </c>
      <c r="T13" s="89"/>
      <c r="U13" s="90">
        <f t="shared" si="14"/>
        <v>0</v>
      </c>
      <c r="V13" s="91">
        <f t="shared" si="15"/>
        <v>0</v>
      </c>
      <c r="W13" s="88">
        <f t="shared" si="16"/>
        <v>0</v>
      </c>
      <c r="X13" s="89"/>
      <c r="Y13" s="90">
        <f t="shared" si="17"/>
        <v>0</v>
      </c>
      <c r="Z13" s="91">
        <f t="shared" si="18"/>
        <v>0</v>
      </c>
      <c r="AA13" s="92">
        <f t="shared" si="19"/>
        <v>0</v>
      </c>
      <c r="AB13" s="89"/>
      <c r="AC13" s="90">
        <f t="shared" si="20"/>
        <v>0</v>
      </c>
      <c r="AD13" s="91">
        <f t="shared" si="21"/>
        <v>0</v>
      </c>
      <c r="AE13" s="88">
        <f t="shared" si="22"/>
        <v>0</v>
      </c>
      <c r="AF13" s="89"/>
      <c r="AG13" s="90">
        <f t="shared" si="23"/>
        <v>0</v>
      </c>
      <c r="AH13" s="91">
        <f t="shared" si="24"/>
        <v>0</v>
      </c>
      <c r="AI13" s="88">
        <f t="shared" si="25"/>
        <v>0</v>
      </c>
      <c r="AJ13" s="89"/>
      <c r="AK13" s="90">
        <f t="shared" si="26"/>
        <v>0</v>
      </c>
      <c r="AL13" s="91">
        <f t="shared" si="27"/>
        <v>0</v>
      </c>
      <c r="AM13" s="88">
        <f t="shared" si="28"/>
        <v>0</v>
      </c>
      <c r="AN13" s="89">
        <v>0.5</v>
      </c>
      <c r="AO13" s="90">
        <f t="shared" si="29"/>
        <v>0</v>
      </c>
      <c r="AP13" s="91">
        <f t="shared" si="30"/>
        <v>0.5</v>
      </c>
      <c r="AQ13" s="88">
        <f t="shared" si="31"/>
        <v>0</v>
      </c>
      <c r="AR13" s="89">
        <v>0.5</v>
      </c>
      <c r="AS13" s="90">
        <f t="shared" si="32"/>
        <v>0</v>
      </c>
      <c r="AT13" s="91">
        <f t="shared" si="33"/>
        <v>0.5</v>
      </c>
      <c r="AU13" s="88">
        <f t="shared" si="34"/>
        <v>0</v>
      </c>
      <c r="AV13" s="89">
        <v>0</v>
      </c>
      <c r="AW13" s="90">
        <f t="shared" si="35"/>
        <v>0</v>
      </c>
      <c r="AX13" s="91">
        <v>0</v>
      </c>
      <c r="AY13" s="88">
        <f t="shared" si="36"/>
        <v>0</v>
      </c>
      <c r="AZ13" s="89">
        <v>0</v>
      </c>
      <c r="BA13" s="90">
        <f t="shared" si="37"/>
        <v>0</v>
      </c>
      <c r="BB13" s="91">
        <v>0</v>
      </c>
      <c r="BC13" s="88">
        <f t="shared" si="38"/>
        <v>0</v>
      </c>
      <c r="BD13" s="89">
        <v>0</v>
      </c>
      <c r="BE13" s="90">
        <f t="shared" si="39"/>
        <v>0</v>
      </c>
      <c r="BF13" s="91">
        <v>0</v>
      </c>
      <c r="BG13" s="88">
        <f t="shared" si="40"/>
        <v>0</v>
      </c>
      <c r="BH13" s="89">
        <v>0</v>
      </c>
      <c r="BI13" s="90">
        <f t="shared" si="41"/>
        <v>0</v>
      </c>
      <c r="BJ13" s="91">
        <v>0</v>
      </c>
      <c r="BK13" s="88">
        <f t="shared" si="42"/>
        <v>0</v>
      </c>
      <c r="BL13" s="89">
        <v>0</v>
      </c>
      <c r="BM13" s="90">
        <f t="shared" si="43"/>
        <v>0</v>
      </c>
      <c r="BN13" s="91">
        <v>0</v>
      </c>
      <c r="BO13" s="88">
        <f t="shared" si="44"/>
        <v>0</v>
      </c>
      <c r="BP13" s="89">
        <v>0</v>
      </c>
      <c r="BQ13" s="90">
        <f t="shared" si="45"/>
        <v>0</v>
      </c>
      <c r="BR13" s="91">
        <v>0</v>
      </c>
      <c r="BT13" s="94">
        <f t="shared" si="0"/>
        <v>1</v>
      </c>
      <c r="BU13" s="94">
        <f t="shared" si="1"/>
        <v>1</v>
      </c>
      <c r="BV13" s="104">
        <v>8</v>
      </c>
    </row>
    <row r="14" spans="1:74" s="102" customFormat="1" ht="10.95" customHeight="1" x14ac:dyDescent="0.2">
      <c r="A14" s="74">
        <v>9</v>
      </c>
      <c r="B14" s="176" t="str">
        <f>VLOOKUP(A14,'Orçamento Desonerado'!$A$10:$L$734,4,FALSE)</f>
        <v>PISOS</v>
      </c>
      <c r="C14" s="197">
        <f>'Orçamento Desonerado'!J191</f>
        <v>0</v>
      </c>
      <c r="D14" s="197">
        <f>'Orçamento Desonerado'!K191</f>
        <v>0</v>
      </c>
      <c r="E14" s="96">
        <f t="shared" si="2"/>
        <v>0</v>
      </c>
      <c r="F14" s="96" t="e">
        <f t="shared" si="3"/>
        <v>#DIV/0!</v>
      </c>
      <c r="G14" s="97">
        <f t="shared" si="4"/>
        <v>0</v>
      </c>
      <c r="H14" s="198"/>
      <c r="I14" s="99">
        <f t="shared" si="5"/>
        <v>0</v>
      </c>
      <c r="J14" s="100">
        <f t="shared" si="6"/>
        <v>0</v>
      </c>
      <c r="K14" s="101">
        <f t="shared" si="7"/>
        <v>0</v>
      </c>
      <c r="L14" s="178"/>
      <c r="M14" s="99">
        <f t="shared" si="8"/>
        <v>0</v>
      </c>
      <c r="N14" s="100">
        <f t="shared" si="9"/>
        <v>0</v>
      </c>
      <c r="O14" s="97">
        <f t="shared" si="10"/>
        <v>0</v>
      </c>
      <c r="P14" s="178"/>
      <c r="Q14" s="99">
        <f t="shared" si="11"/>
        <v>0</v>
      </c>
      <c r="R14" s="100">
        <f t="shared" si="12"/>
        <v>0</v>
      </c>
      <c r="S14" s="101">
        <f t="shared" si="13"/>
        <v>0</v>
      </c>
      <c r="T14" s="178"/>
      <c r="U14" s="99">
        <f t="shared" si="14"/>
        <v>0</v>
      </c>
      <c r="V14" s="100">
        <f t="shared" si="15"/>
        <v>0</v>
      </c>
      <c r="W14" s="97">
        <f t="shared" si="16"/>
        <v>0</v>
      </c>
      <c r="X14" s="178">
        <v>0.15</v>
      </c>
      <c r="Y14" s="99">
        <f t="shared" si="17"/>
        <v>0</v>
      </c>
      <c r="Z14" s="100">
        <f t="shared" si="18"/>
        <v>0.15</v>
      </c>
      <c r="AA14" s="101">
        <f t="shared" si="19"/>
        <v>0</v>
      </c>
      <c r="AB14" s="178">
        <v>0.25</v>
      </c>
      <c r="AC14" s="99">
        <f t="shared" si="20"/>
        <v>0</v>
      </c>
      <c r="AD14" s="100">
        <f t="shared" si="21"/>
        <v>0.25</v>
      </c>
      <c r="AE14" s="97">
        <f t="shared" si="22"/>
        <v>0</v>
      </c>
      <c r="AF14" s="178">
        <v>0.25</v>
      </c>
      <c r="AG14" s="99">
        <f t="shared" si="23"/>
        <v>0</v>
      </c>
      <c r="AH14" s="100">
        <f t="shared" si="24"/>
        <v>0.25</v>
      </c>
      <c r="AI14" s="97">
        <f t="shared" si="25"/>
        <v>0</v>
      </c>
      <c r="AJ14" s="178">
        <v>0.05</v>
      </c>
      <c r="AK14" s="99">
        <f t="shared" si="26"/>
        <v>0</v>
      </c>
      <c r="AL14" s="100">
        <f t="shared" si="27"/>
        <v>0.05</v>
      </c>
      <c r="AM14" s="97">
        <f t="shared" si="28"/>
        <v>0</v>
      </c>
      <c r="AN14" s="178">
        <v>0.15</v>
      </c>
      <c r="AO14" s="99">
        <f t="shared" si="29"/>
        <v>0</v>
      </c>
      <c r="AP14" s="100">
        <f t="shared" si="30"/>
        <v>0.15</v>
      </c>
      <c r="AQ14" s="97">
        <f t="shared" si="31"/>
        <v>0</v>
      </c>
      <c r="AR14" s="178">
        <v>0.15</v>
      </c>
      <c r="AS14" s="99">
        <f t="shared" si="32"/>
        <v>0</v>
      </c>
      <c r="AT14" s="100">
        <f t="shared" si="33"/>
        <v>0.15</v>
      </c>
      <c r="AU14" s="97">
        <f t="shared" si="34"/>
        <v>0</v>
      </c>
      <c r="AV14" s="178">
        <v>0</v>
      </c>
      <c r="AW14" s="99">
        <f t="shared" si="35"/>
        <v>0</v>
      </c>
      <c r="AX14" s="100">
        <v>0</v>
      </c>
      <c r="AY14" s="97">
        <f t="shared" si="36"/>
        <v>0</v>
      </c>
      <c r="AZ14" s="178">
        <v>0</v>
      </c>
      <c r="BA14" s="99">
        <f t="shared" si="37"/>
        <v>0</v>
      </c>
      <c r="BB14" s="100">
        <v>0</v>
      </c>
      <c r="BC14" s="97">
        <f t="shared" si="38"/>
        <v>0</v>
      </c>
      <c r="BD14" s="178">
        <v>0</v>
      </c>
      <c r="BE14" s="99">
        <f t="shared" si="39"/>
        <v>0</v>
      </c>
      <c r="BF14" s="100">
        <v>0</v>
      </c>
      <c r="BG14" s="97">
        <f t="shared" si="40"/>
        <v>0</v>
      </c>
      <c r="BH14" s="178">
        <v>0</v>
      </c>
      <c r="BI14" s="99">
        <f t="shared" si="41"/>
        <v>0</v>
      </c>
      <c r="BJ14" s="100">
        <v>0</v>
      </c>
      <c r="BK14" s="97">
        <f t="shared" si="42"/>
        <v>0</v>
      </c>
      <c r="BL14" s="178">
        <v>0</v>
      </c>
      <c r="BM14" s="99">
        <f t="shared" si="43"/>
        <v>0</v>
      </c>
      <c r="BN14" s="100">
        <v>0</v>
      </c>
      <c r="BO14" s="97">
        <f t="shared" si="44"/>
        <v>0</v>
      </c>
      <c r="BP14" s="178">
        <v>0</v>
      </c>
      <c r="BQ14" s="99">
        <f t="shared" si="45"/>
        <v>0</v>
      </c>
      <c r="BR14" s="100">
        <v>0</v>
      </c>
      <c r="BT14" s="140">
        <f t="shared" si="0"/>
        <v>1</v>
      </c>
      <c r="BU14" s="140">
        <f t="shared" si="1"/>
        <v>1</v>
      </c>
      <c r="BV14" s="102">
        <v>9</v>
      </c>
    </row>
    <row r="15" spans="1:74" s="104" customFormat="1" ht="10.95" customHeight="1" x14ac:dyDescent="0.2">
      <c r="A15" s="86">
        <v>10</v>
      </c>
      <c r="B15" s="195" t="str">
        <f>VLOOKUP(A15,'Orçamento Desonerado'!$A$10:$L$734,4,FALSE)</f>
        <v>ESQUADRIAS E FERRAGENS</v>
      </c>
      <c r="C15" s="196">
        <f>'Orçamento Desonerado'!J216</f>
        <v>0</v>
      </c>
      <c r="D15" s="196">
        <f>'Orçamento Desonerado'!K216</f>
        <v>0</v>
      </c>
      <c r="E15" s="87">
        <f t="shared" si="2"/>
        <v>0</v>
      </c>
      <c r="F15" s="87" t="e">
        <f t="shared" si="3"/>
        <v>#DIV/0!</v>
      </c>
      <c r="G15" s="88">
        <f t="shared" si="4"/>
        <v>0</v>
      </c>
      <c r="H15" s="182"/>
      <c r="I15" s="90">
        <f t="shared" si="5"/>
        <v>0</v>
      </c>
      <c r="J15" s="91">
        <f t="shared" si="6"/>
        <v>0</v>
      </c>
      <c r="K15" s="92">
        <f t="shared" si="7"/>
        <v>0</v>
      </c>
      <c r="L15" s="89"/>
      <c r="M15" s="90">
        <f t="shared" si="8"/>
        <v>0</v>
      </c>
      <c r="N15" s="91">
        <f t="shared" si="9"/>
        <v>0</v>
      </c>
      <c r="O15" s="88">
        <f t="shared" si="10"/>
        <v>0</v>
      </c>
      <c r="P15" s="89"/>
      <c r="Q15" s="90">
        <f t="shared" si="11"/>
        <v>0</v>
      </c>
      <c r="R15" s="91">
        <f t="shared" si="12"/>
        <v>0</v>
      </c>
      <c r="S15" s="92">
        <f t="shared" si="13"/>
        <v>0</v>
      </c>
      <c r="T15" s="89"/>
      <c r="U15" s="90">
        <f t="shared" si="14"/>
        <v>0</v>
      </c>
      <c r="V15" s="91">
        <f t="shared" si="15"/>
        <v>0</v>
      </c>
      <c r="W15" s="88">
        <f t="shared" si="16"/>
        <v>0</v>
      </c>
      <c r="X15" s="89"/>
      <c r="Y15" s="90">
        <f t="shared" si="17"/>
        <v>0</v>
      </c>
      <c r="Z15" s="91">
        <f t="shared" si="18"/>
        <v>0</v>
      </c>
      <c r="AA15" s="92">
        <f t="shared" si="19"/>
        <v>0</v>
      </c>
      <c r="AB15" s="89">
        <v>0.1</v>
      </c>
      <c r="AC15" s="90">
        <f t="shared" si="20"/>
        <v>0</v>
      </c>
      <c r="AD15" s="91">
        <f t="shared" si="21"/>
        <v>0.1</v>
      </c>
      <c r="AE15" s="88">
        <f t="shared" si="22"/>
        <v>0</v>
      </c>
      <c r="AF15" s="89">
        <v>0.2</v>
      </c>
      <c r="AG15" s="90">
        <f t="shared" si="23"/>
        <v>0</v>
      </c>
      <c r="AH15" s="91">
        <f t="shared" si="24"/>
        <v>0.2</v>
      </c>
      <c r="AI15" s="88">
        <f t="shared" si="25"/>
        <v>0</v>
      </c>
      <c r="AJ15" s="89">
        <v>0.3</v>
      </c>
      <c r="AK15" s="90">
        <f t="shared" si="26"/>
        <v>0</v>
      </c>
      <c r="AL15" s="91">
        <f t="shared" si="27"/>
        <v>0.3</v>
      </c>
      <c r="AM15" s="88">
        <f t="shared" si="28"/>
        <v>0</v>
      </c>
      <c r="AN15" s="89">
        <v>0.3</v>
      </c>
      <c r="AO15" s="90">
        <f t="shared" si="29"/>
        <v>0</v>
      </c>
      <c r="AP15" s="91">
        <f t="shared" si="30"/>
        <v>0.3</v>
      </c>
      <c r="AQ15" s="88">
        <f t="shared" si="31"/>
        <v>0</v>
      </c>
      <c r="AR15" s="89">
        <v>0.1</v>
      </c>
      <c r="AS15" s="90">
        <f t="shared" si="32"/>
        <v>0</v>
      </c>
      <c r="AT15" s="91">
        <f t="shared" si="33"/>
        <v>0.1</v>
      </c>
      <c r="AU15" s="88">
        <f t="shared" si="34"/>
        <v>0</v>
      </c>
      <c r="AV15" s="89">
        <v>0</v>
      </c>
      <c r="AW15" s="90">
        <f t="shared" si="35"/>
        <v>0</v>
      </c>
      <c r="AX15" s="91">
        <v>0</v>
      </c>
      <c r="AY15" s="88">
        <f t="shared" si="36"/>
        <v>0</v>
      </c>
      <c r="AZ15" s="89">
        <v>0</v>
      </c>
      <c r="BA15" s="90">
        <f t="shared" si="37"/>
        <v>0</v>
      </c>
      <c r="BB15" s="91">
        <v>0</v>
      </c>
      <c r="BC15" s="88">
        <f t="shared" si="38"/>
        <v>0</v>
      </c>
      <c r="BD15" s="89">
        <v>0</v>
      </c>
      <c r="BE15" s="90">
        <f t="shared" si="39"/>
        <v>0</v>
      </c>
      <c r="BF15" s="91">
        <v>0</v>
      </c>
      <c r="BG15" s="88">
        <f t="shared" si="40"/>
        <v>0</v>
      </c>
      <c r="BH15" s="89">
        <v>0</v>
      </c>
      <c r="BI15" s="90">
        <f t="shared" si="41"/>
        <v>0</v>
      </c>
      <c r="BJ15" s="91">
        <v>0</v>
      </c>
      <c r="BK15" s="88">
        <f t="shared" si="42"/>
        <v>0</v>
      </c>
      <c r="BL15" s="89">
        <v>0</v>
      </c>
      <c r="BM15" s="90">
        <f t="shared" si="43"/>
        <v>0</v>
      </c>
      <c r="BN15" s="91">
        <v>0</v>
      </c>
      <c r="BO15" s="88">
        <f t="shared" si="44"/>
        <v>0</v>
      </c>
      <c r="BP15" s="89">
        <v>0</v>
      </c>
      <c r="BQ15" s="90">
        <f t="shared" si="45"/>
        <v>0</v>
      </c>
      <c r="BR15" s="91">
        <v>0</v>
      </c>
      <c r="BT15" s="94">
        <f t="shared" si="0"/>
        <v>0.99999999999999989</v>
      </c>
      <c r="BU15" s="94">
        <f t="shared" si="1"/>
        <v>0.99999999999999989</v>
      </c>
      <c r="BV15" s="104">
        <v>10</v>
      </c>
    </row>
    <row r="16" spans="1:74" s="102" customFormat="1" ht="10.95" customHeight="1" x14ac:dyDescent="0.2">
      <c r="A16" s="74">
        <v>11</v>
      </c>
      <c r="B16" s="176" t="str">
        <f>VLOOKUP(A16,'Orçamento Desonerado'!$A$10:$L$734,4,FALSE)</f>
        <v>INSTALAÇÕES HIDROSSANITÁRIAS</v>
      </c>
      <c r="C16" s="197">
        <f>'Orçamento Desonerado'!J328</f>
        <v>0</v>
      </c>
      <c r="D16" s="197">
        <f>'Orçamento Desonerado'!K328</f>
        <v>0</v>
      </c>
      <c r="E16" s="96">
        <f t="shared" si="2"/>
        <v>0</v>
      </c>
      <c r="F16" s="96" t="e">
        <f t="shared" si="3"/>
        <v>#DIV/0!</v>
      </c>
      <c r="G16" s="97">
        <f t="shared" si="4"/>
        <v>0</v>
      </c>
      <c r="H16" s="198"/>
      <c r="I16" s="99">
        <f t="shared" si="5"/>
        <v>0</v>
      </c>
      <c r="J16" s="100">
        <f t="shared" si="6"/>
        <v>0</v>
      </c>
      <c r="K16" s="101">
        <f t="shared" si="7"/>
        <v>0</v>
      </c>
      <c r="L16" s="178">
        <v>0.05</v>
      </c>
      <c r="M16" s="99">
        <f t="shared" si="8"/>
        <v>0</v>
      </c>
      <c r="N16" s="100">
        <f t="shared" si="9"/>
        <v>0.05</v>
      </c>
      <c r="O16" s="97">
        <f t="shared" si="10"/>
        <v>0</v>
      </c>
      <c r="P16" s="178">
        <v>0.05</v>
      </c>
      <c r="Q16" s="99">
        <f t="shared" si="11"/>
        <v>0</v>
      </c>
      <c r="R16" s="100">
        <f t="shared" si="12"/>
        <v>0.05</v>
      </c>
      <c r="S16" s="101">
        <f t="shared" si="13"/>
        <v>0</v>
      </c>
      <c r="T16" s="178">
        <v>0.05</v>
      </c>
      <c r="U16" s="99">
        <f t="shared" si="14"/>
        <v>0</v>
      </c>
      <c r="V16" s="100">
        <f t="shared" si="15"/>
        <v>0.05</v>
      </c>
      <c r="W16" s="97">
        <f t="shared" si="16"/>
        <v>0</v>
      </c>
      <c r="X16" s="178">
        <v>0.05</v>
      </c>
      <c r="Y16" s="99">
        <f t="shared" si="17"/>
        <v>0</v>
      </c>
      <c r="Z16" s="100">
        <f t="shared" si="18"/>
        <v>0.05</v>
      </c>
      <c r="AA16" s="101">
        <f t="shared" si="19"/>
        <v>0</v>
      </c>
      <c r="AB16" s="178">
        <v>0.1</v>
      </c>
      <c r="AC16" s="99">
        <f t="shared" si="20"/>
        <v>0</v>
      </c>
      <c r="AD16" s="100">
        <f t="shared" si="21"/>
        <v>0.1</v>
      </c>
      <c r="AE16" s="97">
        <f t="shared" si="22"/>
        <v>0</v>
      </c>
      <c r="AF16" s="178">
        <v>0.1</v>
      </c>
      <c r="AG16" s="99">
        <f t="shared" si="23"/>
        <v>0</v>
      </c>
      <c r="AH16" s="100">
        <f t="shared" si="24"/>
        <v>0.1</v>
      </c>
      <c r="AI16" s="97">
        <f t="shared" si="25"/>
        <v>0</v>
      </c>
      <c r="AJ16" s="178">
        <v>0.1</v>
      </c>
      <c r="AK16" s="99">
        <f t="shared" si="26"/>
        <v>0</v>
      </c>
      <c r="AL16" s="100">
        <f t="shared" si="27"/>
        <v>0.1</v>
      </c>
      <c r="AM16" s="97">
        <f t="shared" si="28"/>
        <v>0</v>
      </c>
      <c r="AN16" s="178">
        <v>0.2</v>
      </c>
      <c r="AO16" s="99">
        <f t="shared" si="29"/>
        <v>0</v>
      </c>
      <c r="AP16" s="100">
        <f t="shared" si="30"/>
        <v>0.2</v>
      </c>
      <c r="AQ16" s="97">
        <f t="shared" si="31"/>
        <v>0</v>
      </c>
      <c r="AR16" s="178">
        <v>0.3</v>
      </c>
      <c r="AS16" s="99">
        <f t="shared" si="32"/>
        <v>0</v>
      </c>
      <c r="AT16" s="100">
        <f t="shared" si="33"/>
        <v>0.3</v>
      </c>
      <c r="AU16" s="97">
        <f t="shared" si="34"/>
        <v>0</v>
      </c>
      <c r="AV16" s="178">
        <v>0</v>
      </c>
      <c r="AW16" s="99">
        <f t="shared" si="35"/>
        <v>0</v>
      </c>
      <c r="AX16" s="100">
        <v>0</v>
      </c>
      <c r="AY16" s="97">
        <f t="shared" si="36"/>
        <v>0</v>
      </c>
      <c r="AZ16" s="178">
        <v>0</v>
      </c>
      <c r="BA16" s="99">
        <f t="shared" si="37"/>
        <v>0</v>
      </c>
      <c r="BB16" s="100">
        <v>0</v>
      </c>
      <c r="BC16" s="97">
        <f t="shared" si="38"/>
        <v>0</v>
      </c>
      <c r="BD16" s="178">
        <v>0</v>
      </c>
      <c r="BE16" s="99">
        <f t="shared" si="39"/>
        <v>0</v>
      </c>
      <c r="BF16" s="100">
        <v>0</v>
      </c>
      <c r="BG16" s="97">
        <f t="shared" si="40"/>
        <v>0</v>
      </c>
      <c r="BH16" s="178">
        <v>0</v>
      </c>
      <c r="BI16" s="99">
        <f t="shared" si="41"/>
        <v>0</v>
      </c>
      <c r="BJ16" s="100">
        <v>0</v>
      </c>
      <c r="BK16" s="97">
        <f t="shared" si="42"/>
        <v>0</v>
      </c>
      <c r="BL16" s="178">
        <v>0</v>
      </c>
      <c r="BM16" s="99">
        <f t="shared" si="43"/>
        <v>0</v>
      </c>
      <c r="BN16" s="100">
        <v>0</v>
      </c>
      <c r="BO16" s="97">
        <f t="shared" si="44"/>
        <v>0</v>
      </c>
      <c r="BP16" s="178">
        <v>0</v>
      </c>
      <c r="BQ16" s="99">
        <f t="shared" si="45"/>
        <v>0</v>
      </c>
      <c r="BR16" s="100">
        <v>0</v>
      </c>
      <c r="BT16" s="140">
        <f t="shared" si="0"/>
        <v>1</v>
      </c>
      <c r="BU16" s="140">
        <f t="shared" si="1"/>
        <v>1</v>
      </c>
      <c r="BV16" s="102">
        <v>11</v>
      </c>
    </row>
    <row r="17" spans="1:74" s="104" customFormat="1" ht="10.95" customHeight="1" x14ac:dyDescent="0.2">
      <c r="A17" s="86">
        <v>12</v>
      </c>
      <c r="B17" s="195" t="str">
        <f>VLOOKUP(A17,'Orçamento Desonerado'!$A$10:$L$734,4,FALSE)</f>
        <v>LOUÇAS E METAIS</v>
      </c>
      <c r="C17" s="196">
        <f>'Orçamento Desonerado'!J356</f>
        <v>0</v>
      </c>
      <c r="D17" s="196">
        <f>'Orçamento Desonerado'!K356</f>
        <v>0</v>
      </c>
      <c r="E17" s="87">
        <f t="shared" si="2"/>
        <v>0</v>
      </c>
      <c r="F17" s="87" t="e">
        <f t="shared" si="3"/>
        <v>#DIV/0!</v>
      </c>
      <c r="G17" s="88">
        <f t="shared" si="4"/>
        <v>0</v>
      </c>
      <c r="H17" s="182"/>
      <c r="I17" s="90">
        <f t="shared" si="5"/>
        <v>0</v>
      </c>
      <c r="J17" s="91">
        <f t="shared" si="6"/>
        <v>0</v>
      </c>
      <c r="K17" s="92">
        <f t="shared" si="7"/>
        <v>0</v>
      </c>
      <c r="L17" s="89"/>
      <c r="M17" s="90">
        <f t="shared" si="8"/>
        <v>0</v>
      </c>
      <c r="N17" s="91">
        <f t="shared" si="9"/>
        <v>0</v>
      </c>
      <c r="O17" s="88">
        <f t="shared" si="10"/>
        <v>0</v>
      </c>
      <c r="P17" s="89"/>
      <c r="Q17" s="90">
        <f t="shared" si="11"/>
        <v>0</v>
      </c>
      <c r="R17" s="91">
        <f t="shared" si="12"/>
        <v>0</v>
      </c>
      <c r="S17" s="92">
        <f t="shared" si="13"/>
        <v>0</v>
      </c>
      <c r="T17" s="89"/>
      <c r="U17" s="90">
        <f t="shared" si="14"/>
        <v>0</v>
      </c>
      <c r="V17" s="91">
        <f t="shared" si="15"/>
        <v>0</v>
      </c>
      <c r="W17" s="88">
        <f t="shared" si="16"/>
        <v>0</v>
      </c>
      <c r="X17" s="89"/>
      <c r="Y17" s="90">
        <f t="shared" si="17"/>
        <v>0</v>
      </c>
      <c r="Z17" s="91">
        <f t="shared" si="18"/>
        <v>0</v>
      </c>
      <c r="AA17" s="92">
        <f t="shared" si="19"/>
        <v>0</v>
      </c>
      <c r="AB17" s="89"/>
      <c r="AC17" s="90">
        <f t="shared" si="20"/>
        <v>0</v>
      </c>
      <c r="AD17" s="91">
        <f t="shared" si="21"/>
        <v>0</v>
      </c>
      <c r="AE17" s="88">
        <f t="shared" si="22"/>
        <v>0</v>
      </c>
      <c r="AF17" s="89"/>
      <c r="AG17" s="90">
        <f t="shared" si="23"/>
        <v>0</v>
      </c>
      <c r="AH17" s="91">
        <f t="shared" si="24"/>
        <v>0</v>
      </c>
      <c r="AI17" s="88">
        <f t="shared" si="25"/>
        <v>0</v>
      </c>
      <c r="AJ17" s="89">
        <v>0.1</v>
      </c>
      <c r="AK17" s="90">
        <f t="shared" si="26"/>
        <v>0</v>
      </c>
      <c r="AL17" s="91">
        <f t="shared" si="27"/>
        <v>0.1</v>
      </c>
      <c r="AM17" s="88">
        <f t="shared" si="28"/>
        <v>0</v>
      </c>
      <c r="AN17" s="89">
        <v>0.4</v>
      </c>
      <c r="AO17" s="90">
        <f t="shared" si="29"/>
        <v>0</v>
      </c>
      <c r="AP17" s="91">
        <f t="shared" si="30"/>
        <v>0.4</v>
      </c>
      <c r="AQ17" s="88">
        <f t="shared" si="31"/>
        <v>0</v>
      </c>
      <c r="AR17" s="89">
        <v>0.5</v>
      </c>
      <c r="AS17" s="90">
        <f t="shared" si="32"/>
        <v>0</v>
      </c>
      <c r="AT17" s="91">
        <f t="shared" si="33"/>
        <v>0.5</v>
      </c>
      <c r="AU17" s="88">
        <f t="shared" si="34"/>
        <v>0</v>
      </c>
      <c r="AV17" s="89">
        <v>0</v>
      </c>
      <c r="AW17" s="90">
        <f t="shared" si="35"/>
        <v>0</v>
      </c>
      <c r="AX17" s="91">
        <v>0</v>
      </c>
      <c r="AY17" s="88">
        <f t="shared" si="36"/>
        <v>0</v>
      </c>
      <c r="AZ17" s="89">
        <v>0</v>
      </c>
      <c r="BA17" s="90">
        <f t="shared" si="37"/>
        <v>0</v>
      </c>
      <c r="BB17" s="91">
        <v>0</v>
      </c>
      <c r="BC17" s="88">
        <f t="shared" si="38"/>
        <v>0</v>
      </c>
      <c r="BD17" s="89">
        <v>0</v>
      </c>
      <c r="BE17" s="90">
        <f t="shared" si="39"/>
        <v>0</v>
      </c>
      <c r="BF17" s="91">
        <v>0</v>
      </c>
      <c r="BG17" s="88">
        <f t="shared" si="40"/>
        <v>0</v>
      </c>
      <c r="BH17" s="89">
        <v>0</v>
      </c>
      <c r="BI17" s="90">
        <f t="shared" si="41"/>
        <v>0</v>
      </c>
      <c r="BJ17" s="91">
        <v>0</v>
      </c>
      <c r="BK17" s="88">
        <f t="shared" si="42"/>
        <v>0</v>
      </c>
      <c r="BL17" s="89">
        <v>0</v>
      </c>
      <c r="BM17" s="90">
        <f t="shared" si="43"/>
        <v>0</v>
      </c>
      <c r="BN17" s="91">
        <v>0</v>
      </c>
      <c r="BO17" s="88">
        <f t="shared" si="44"/>
        <v>0</v>
      </c>
      <c r="BP17" s="89">
        <v>0</v>
      </c>
      <c r="BQ17" s="90">
        <f t="shared" si="45"/>
        <v>0</v>
      </c>
      <c r="BR17" s="91">
        <v>0</v>
      </c>
      <c r="BT17" s="94">
        <f t="shared" si="0"/>
        <v>1</v>
      </c>
      <c r="BU17" s="94">
        <f t="shared" si="1"/>
        <v>1</v>
      </c>
      <c r="BV17" s="104">
        <v>12</v>
      </c>
    </row>
    <row r="18" spans="1:74" s="102" customFormat="1" ht="10.95" customHeight="1" x14ac:dyDescent="0.2">
      <c r="A18" s="74">
        <v>13</v>
      </c>
      <c r="B18" s="176" t="str">
        <f>VLOOKUP(A18,'Orçamento Desonerado'!$A$10:$L$734,4,FALSE)</f>
        <v>INSTALAÇÕES ELÉTRICAS</v>
      </c>
      <c r="C18" s="197">
        <f>'Orçamento Desonerado'!J444</f>
        <v>0</v>
      </c>
      <c r="D18" s="197">
        <f>'Orçamento Desonerado'!K444</f>
        <v>0</v>
      </c>
      <c r="E18" s="96">
        <f t="shared" si="2"/>
        <v>0</v>
      </c>
      <c r="F18" s="96" t="e">
        <f t="shared" si="3"/>
        <v>#DIV/0!</v>
      </c>
      <c r="G18" s="97">
        <f t="shared" si="4"/>
        <v>0</v>
      </c>
      <c r="H18" s="198"/>
      <c r="I18" s="99">
        <f t="shared" si="5"/>
        <v>0</v>
      </c>
      <c r="J18" s="100">
        <f t="shared" si="6"/>
        <v>0</v>
      </c>
      <c r="K18" s="101">
        <f t="shared" si="7"/>
        <v>0</v>
      </c>
      <c r="L18" s="178">
        <v>0.05</v>
      </c>
      <c r="M18" s="99">
        <f t="shared" si="8"/>
        <v>0</v>
      </c>
      <c r="N18" s="100">
        <f t="shared" si="9"/>
        <v>0.05</v>
      </c>
      <c r="O18" s="97">
        <f t="shared" si="10"/>
        <v>0</v>
      </c>
      <c r="P18" s="178">
        <v>0.05</v>
      </c>
      <c r="Q18" s="99">
        <f t="shared" si="11"/>
        <v>0</v>
      </c>
      <c r="R18" s="100">
        <f t="shared" si="12"/>
        <v>0.05</v>
      </c>
      <c r="S18" s="101">
        <f t="shared" si="13"/>
        <v>0</v>
      </c>
      <c r="T18" s="178">
        <v>0.05</v>
      </c>
      <c r="U18" s="99">
        <f t="shared" si="14"/>
        <v>0</v>
      </c>
      <c r="V18" s="100">
        <f t="shared" si="15"/>
        <v>0.05</v>
      </c>
      <c r="W18" s="97">
        <f t="shared" si="16"/>
        <v>0</v>
      </c>
      <c r="X18" s="178">
        <v>0.05</v>
      </c>
      <c r="Y18" s="99">
        <f t="shared" si="17"/>
        <v>0</v>
      </c>
      <c r="Z18" s="100">
        <f t="shared" si="18"/>
        <v>0.05</v>
      </c>
      <c r="AA18" s="101">
        <f t="shared" si="19"/>
        <v>0</v>
      </c>
      <c r="AB18" s="178">
        <v>0.1</v>
      </c>
      <c r="AC18" s="99">
        <f t="shared" si="20"/>
        <v>0</v>
      </c>
      <c r="AD18" s="100">
        <f t="shared" si="21"/>
        <v>0.1</v>
      </c>
      <c r="AE18" s="97">
        <f t="shared" si="22"/>
        <v>0</v>
      </c>
      <c r="AF18" s="178">
        <v>0.1</v>
      </c>
      <c r="AG18" s="99">
        <f t="shared" si="23"/>
        <v>0</v>
      </c>
      <c r="AH18" s="100">
        <f t="shared" si="24"/>
        <v>0.1</v>
      </c>
      <c r="AI18" s="97">
        <f t="shared" si="25"/>
        <v>0</v>
      </c>
      <c r="AJ18" s="178">
        <v>0.1</v>
      </c>
      <c r="AK18" s="99">
        <f t="shared" si="26"/>
        <v>0</v>
      </c>
      <c r="AL18" s="100">
        <f t="shared" si="27"/>
        <v>0.1</v>
      </c>
      <c r="AM18" s="97">
        <f t="shared" si="28"/>
        <v>0</v>
      </c>
      <c r="AN18" s="178">
        <v>0.2</v>
      </c>
      <c r="AO18" s="99">
        <f t="shared" si="29"/>
        <v>0</v>
      </c>
      <c r="AP18" s="100">
        <f t="shared" si="30"/>
        <v>0.2</v>
      </c>
      <c r="AQ18" s="97">
        <f t="shared" si="31"/>
        <v>0</v>
      </c>
      <c r="AR18" s="178">
        <v>0.3</v>
      </c>
      <c r="AS18" s="99">
        <f t="shared" si="32"/>
        <v>0</v>
      </c>
      <c r="AT18" s="100">
        <f t="shared" si="33"/>
        <v>0.3</v>
      </c>
      <c r="AU18" s="97">
        <f t="shared" si="34"/>
        <v>0</v>
      </c>
      <c r="AV18" s="178">
        <v>0</v>
      </c>
      <c r="AW18" s="99">
        <f t="shared" si="35"/>
        <v>0</v>
      </c>
      <c r="AX18" s="100">
        <v>0</v>
      </c>
      <c r="AY18" s="97">
        <f t="shared" si="36"/>
        <v>0</v>
      </c>
      <c r="AZ18" s="178">
        <v>0</v>
      </c>
      <c r="BA18" s="99">
        <f t="shared" si="37"/>
        <v>0</v>
      </c>
      <c r="BB18" s="100">
        <v>0</v>
      </c>
      <c r="BC18" s="97">
        <f t="shared" si="38"/>
        <v>0</v>
      </c>
      <c r="BD18" s="178">
        <v>0</v>
      </c>
      <c r="BE18" s="99">
        <f t="shared" si="39"/>
        <v>0</v>
      </c>
      <c r="BF18" s="100">
        <v>0</v>
      </c>
      <c r="BG18" s="97">
        <f t="shared" si="40"/>
        <v>0</v>
      </c>
      <c r="BH18" s="178">
        <v>0</v>
      </c>
      <c r="BI18" s="99">
        <f t="shared" si="41"/>
        <v>0</v>
      </c>
      <c r="BJ18" s="100">
        <v>0</v>
      </c>
      <c r="BK18" s="97">
        <f t="shared" si="42"/>
        <v>0</v>
      </c>
      <c r="BL18" s="178">
        <v>0</v>
      </c>
      <c r="BM18" s="99">
        <f t="shared" si="43"/>
        <v>0</v>
      </c>
      <c r="BN18" s="100">
        <v>0</v>
      </c>
      <c r="BO18" s="97">
        <f t="shared" si="44"/>
        <v>0</v>
      </c>
      <c r="BP18" s="178">
        <v>0</v>
      </c>
      <c r="BQ18" s="99">
        <f t="shared" si="45"/>
        <v>0</v>
      </c>
      <c r="BR18" s="100">
        <v>0</v>
      </c>
      <c r="BT18" s="140">
        <f t="shared" si="0"/>
        <v>1</v>
      </c>
      <c r="BU18" s="140">
        <f t="shared" si="1"/>
        <v>1</v>
      </c>
      <c r="BV18" s="102">
        <v>13</v>
      </c>
    </row>
    <row r="19" spans="1:74" s="104" customFormat="1" ht="10.95" customHeight="1" x14ac:dyDescent="0.2">
      <c r="A19" s="86">
        <v>14</v>
      </c>
      <c r="B19" s="195" t="str">
        <f>VLOOKUP(A19,'Orçamento Desonerado'!$A$10:$L$734,4,FALSE)</f>
        <v>INSTALAÇÕES PREVENTIVAS DE INCÊNDIO</v>
      </c>
      <c r="C19" s="196">
        <f>'Orçamento Desonerado'!J492</f>
        <v>0</v>
      </c>
      <c r="D19" s="196">
        <f>'Orçamento Desonerado'!K492</f>
        <v>0</v>
      </c>
      <c r="E19" s="87">
        <f t="shared" si="2"/>
        <v>0</v>
      </c>
      <c r="F19" s="87" t="e">
        <f t="shared" si="3"/>
        <v>#DIV/0!</v>
      </c>
      <c r="G19" s="88">
        <f t="shared" si="4"/>
        <v>0</v>
      </c>
      <c r="H19" s="182"/>
      <c r="I19" s="90">
        <f t="shared" si="5"/>
        <v>0</v>
      </c>
      <c r="J19" s="91">
        <f t="shared" si="6"/>
        <v>0</v>
      </c>
      <c r="K19" s="92">
        <f t="shared" si="7"/>
        <v>0</v>
      </c>
      <c r="L19" s="89"/>
      <c r="M19" s="90">
        <f t="shared" si="8"/>
        <v>0</v>
      </c>
      <c r="N19" s="91">
        <f t="shared" si="9"/>
        <v>0</v>
      </c>
      <c r="O19" s="88">
        <f t="shared" si="10"/>
        <v>0</v>
      </c>
      <c r="P19" s="89"/>
      <c r="Q19" s="90">
        <f t="shared" si="11"/>
        <v>0</v>
      </c>
      <c r="R19" s="91">
        <f t="shared" si="12"/>
        <v>0</v>
      </c>
      <c r="S19" s="92">
        <f t="shared" si="13"/>
        <v>0</v>
      </c>
      <c r="T19" s="89"/>
      <c r="U19" s="90">
        <f t="shared" si="14"/>
        <v>0</v>
      </c>
      <c r="V19" s="91">
        <f t="shared" si="15"/>
        <v>0</v>
      </c>
      <c r="W19" s="88">
        <f t="shared" si="16"/>
        <v>0</v>
      </c>
      <c r="X19" s="89"/>
      <c r="Y19" s="90">
        <f t="shared" si="17"/>
        <v>0</v>
      </c>
      <c r="Z19" s="91">
        <f t="shared" si="18"/>
        <v>0</v>
      </c>
      <c r="AA19" s="92">
        <f t="shared" si="19"/>
        <v>0</v>
      </c>
      <c r="AB19" s="89"/>
      <c r="AC19" s="90">
        <f t="shared" si="20"/>
        <v>0</v>
      </c>
      <c r="AD19" s="91">
        <f t="shared" si="21"/>
        <v>0</v>
      </c>
      <c r="AE19" s="88">
        <f t="shared" si="22"/>
        <v>0</v>
      </c>
      <c r="AF19" s="89">
        <v>0.1</v>
      </c>
      <c r="AG19" s="90">
        <f t="shared" si="23"/>
        <v>0</v>
      </c>
      <c r="AH19" s="91">
        <f t="shared" si="24"/>
        <v>0.1</v>
      </c>
      <c r="AI19" s="88">
        <f t="shared" si="25"/>
        <v>0</v>
      </c>
      <c r="AJ19" s="89">
        <v>0.2</v>
      </c>
      <c r="AK19" s="90">
        <f t="shared" si="26"/>
        <v>0</v>
      </c>
      <c r="AL19" s="91">
        <f t="shared" si="27"/>
        <v>0.2</v>
      </c>
      <c r="AM19" s="88">
        <f t="shared" si="28"/>
        <v>0</v>
      </c>
      <c r="AN19" s="89">
        <v>0.2</v>
      </c>
      <c r="AO19" s="90">
        <f t="shared" si="29"/>
        <v>0</v>
      </c>
      <c r="AP19" s="91">
        <f t="shared" si="30"/>
        <v>0.2</v>
      </c>
      <c r="AQ19" s="88">
        <f t="shared" si="31"/>
        <v>0</v>
      </c>
      <c r="AR19" s="89">
        <v>0.5</v>
      </c>
      <c r="AS19" s="90">
        <f t="shared" si="32"/>
        <v>0</v>
      </c>
      <c r="AT19" s="91">
        <f t="shared" si="33"/>
        <v>0.5</v>
      </c>
      <c r="AU19" s="88"/>
      <c r="AV19" s="89"/>
      <c r="AW19" s="90"/>
      <c r="AX19" s="91"/>
      <c r="AY19" s="88"/>
      <c r="AZ19" s="89"/>
      <c r="BA19" s="90"/>
      <c r="BB19" s="91"/>
      <c r="BC19" s="88"/>
      <c r="BD19" s="89"/>
      <c r="BE19" s="90"/>
      <c r="BF19" s="91"/>
      <c r="BG19" s="88"/>
      <c r="BH19" s="89"/>
      <c r="BI19" s="90"/>
      <c r="BJ19" s="91"/>
      <c r="BK19" s="88"/>
      <c r="BL19" s="89"/>
      <c r="BM19" s="90"/>
      <c r="BN19" s="91"/>
      <c r="BO19" s="88"/>
      <c r="BP19" s="89"/>
      <c r="BQ19" s="90"/>
      <c r="BR19" s="91"/>
      <c r="BT19" s="94">
        <f t="shared" si="0"/>
        <v>0.99999999999999989</v>
      </c>
      <c r="BU19" s="94">
        <f t="shared" si="1"/>
        <v>0.99999999999999989</v>
      </c>
      <c r="BV19" s="104">
        <v>14</v>
      </c>
    </row>
    <row r="20" spans="1:74" s="102" customFormat="1" ht="10.95" customHeight="1" x14ac:dyDescent="0.2">
      <c r="A20" s="74">
        <v>15</v>
      </c>
      <c r="B20" s="176" t="str">
        <f>VLOOKUP(A20,'Orçamento Desonerado'!$A$10:$L$734,4,FALSE)</f>
        <v>SERRALHERIA</v>
      </c>
      <c r="C20" s="197">
        <f>'Orçamento Desonerado'!J498</f>
        <v>0</v>
      </c>
      <c r="D20" s="197">
        <f>'Orçamento Desonerado'!K498</f>
        <v>0</v>
      </c>
      <c r="E20" s="96">
        <f t="shared" si="2"/>
        <v>0</v>
      </c>
      <c r="F20" s="96" t="e">
        <f t="shared" si="3"/>
        <v>#DIV/0!</v>
      </c>
      <c r="G20" s="97">
        <f t="shared" si="4"/>
        <v>0</v>
      </c>
      <c r="H20" s="198"/>
      <c r="I20" s="99">
        <f t="shared" si="5"/>
        <v>0</v>
      </c>
      <c r="J20" s="100">
        <f t="shared" si="6"/>
        <v>0</v>
      </c>
      <c r="K20" s="101">
        <f t="shared" si="7"/>
        <v>0</v>
      </c>
      <c r="L20" s="178"/>
      <c r="M20" s="99">
        <f t="shared" si="8"/>
        <v>0</v>
      </c>
      <c r="N20" s="100">
        <f t="shared" si="9"/>
        <v>0</v>
      </c>
      <c r="O20" s="97">
        <f t="shared" si="10"/>
        <v>0</v>
      </c>
      <c r="P20" s="178"/>
      <c r="Q20" s="99">
        <f t="shared" si="11"/>
        <v>0</v>
      </c>
      <c r="R20" s="100">
        <f t="shared" si="12"/>
        <v>0</v>
      </c>
      <c r="S20" s="101">
        <f t="shared" si="13"/>
        <v>0</v>
      </c>
      <c r="T20" s="178"/>
      <c r="U20" s="99">
        <f t="shared" si="14"/>
        <v>0</v>
      </c>
      <c r="V20" s="100">
        <f t="shared" si="15"/>
        <v>0</v>
      </c>
      <c r="W20" s="97">
        <f t="shared" si="16"/>
        <v>0</v>
      </c>
      <c r="X20" s="178"/>
      <c r="Y20" s="99">
        <f t="shared" si="17"/>
        <v>0</v>
      </c>
      <c r="Z20" s="100">
        <f t="shared" si="18"/>
        <v>0</v>
      </c>
      <c r="AA20" s="101">
        <f t="shared" si="19"/>
        <v>0</v>
      </c>
      <c r="AB20" s="178"/>
      <c r="AC20" s="99">
        <f t="shared" si="20"/>
        <v>0</v>
      </c>
      <c r="AD20" s="100">
        <f t="shared" si="21"/>
        <v>0</v>
      </c>
      <c r="AE20" s="97">
        <f t="shared" si="22"/>
        <v>0</v>
      </c>
      <c r="AF20" s="178">
        <v>0.2</v>
      </c>
      <c r="AG20" s="99">
        <f t="shared" si="23"/>
        <v>0</v>
      </c>
      <c r="AH20" s="100">
        <f t="shared" si="24"/>
        <v>0.2</v>
      </c>
      <c r="AI20" s="97">
        <f t="shared" si="25"/>
        <v>0</v>
      </c>
      <c r="AJ20" s="178">
        <v>0.2</v>
      </c>
      <c r="AK20" s="99">
        <f t="shared" si="26"/>
        <v>0</v>
      </c>
      <c r="AL20" s="100">
        <f t="shared" si="27"/>
        <v>0.2</v>
      </c>
      <c r="AM20" s="97">
        <f t="shared" si="28"/>
        <v>0</v>
      </c>
      <c r="AN20" s="178">
        <v>0.4</v>
      </c>
      <c r="AO20" s="99">
        <f t="shared" si="29"/>
        <v>0</v>
      </c>
      <c r="AP20" s="100">
        <f t="shared" si="30"/>
        <v>0.4</v>
      </c>
      <c r="AQ20" s="97">
        <f t="shared" si="31"/>
        <v>0</v>
      </c>
      <c r="AR20" s="178">
        <v>0.2</v>
      </c>
      <c r="AS20" s="99">
        <f t="shared" si="32"/>
        <v>0</v>
      </c>
      <c r="AT20" s="100">
        <f t="shared" si="33"/>
        <v>0.2</v>
      </c>
      <c r="AU20" s="97"/>
      <c r="AV20" s="178"/>
      <c r="AW20" s="99"/>
      <c r="AX20" s="100"/>
      <c r="AY20" s="97"/>
      <c r="AZ20" s="178"/>
      <c r="BA20" s="99"/>
      <c r="BB20" s="100"/>
      <c r="BC20" s="97"/>
      <c r="BD20" s="178"/>
      <c r="BE20" s="99"/>
      <c r="BF20" s="100"/>
      <c r="BG20" s="97"/>
      <c r="BH20" s="178"/>
      <c r="BI20" s="99"/>
      <c r="BJ20" s="100"/>
      <c r="BK20" s="97"/>
      <c r="BL20" s="178"/>
      <c r="BM20" s="99"/>
      <c r="BN20" s="100"/>
      <c r="BO20" s="97"/>
      <c r="BP20" s="178"/>
      <c r="BQ20" s="99"/>
      <c r="BR20" s="100"/>
      <c r="BT20" s="140">
        <f t="shared" si="0"/>
        <v>1</v>
      </c>
      <c r="BU20" s="140">
        <f t="shared" si="1"/>
        <v>1</v>
      </c>
      <c r="BV20" s="102">
        <v>15</v>
      </c>
    </row>
    <row r="21" spans="1:74" s="104" customFormat="1" ht="10.95" customHeight="1" x14ac:dyDescent="0.2">
      <c r="A21" s="86">
        <v>16</v>
      </c>
      <c r="B21" s="195" t="str">
        <f>VLOOKUP(A21,'Orçamento Desonerado'!$A$10:$L$734,4,FALSE)</f>
        <v>CLIMATIZAÇÃO E EXAUSTÃO</v>
      </c>
      <c r="C21" s="196">
        <f>'Orçamento Desonerado'!J553</f>
        <v>0</v>
      </c>
      <c r="D21" s="196">
        <f>'Orçamento Desonerado'!K553</f>
        <v>0</v>
      </c>
      <c r="E21" s="87">
        <f t="shared" si="2"/>
        <v>0</v>
      </c>
      <c r="F21" s="87" t="e">
        <f t="shared" si="3"/>
        <v>#DIV/0!</v>
      </c>
      <c r="G21" s="88">
        <f t="shared" si="4"/>
        <v>0</v>
      </c>
      <c r="H21" s="182"/>
      <c r="I21" s="90">
        <f t="shared" si="5"/>
        <v>0</v>
      </c>
      <c r="J21" s="91">
        <f t="shared" si="6"/>
        <v>0</v>
      </c>
      <c r="K21" s="92">
        <f t="shared" si="7"/>
        <v>0</v>
      </c>
      <c r="L21" s="89"/>
      <c r="M21" s="90">
        <f t="shared" si="8"/>
        <v>0</v>
      </c>
      <c r="N21" s="91">
        <f t="shared" si="9"/>
        <v>0</v>
      </c>
      <c r="O21" s="88">
        <f t="shared" si="10"/>
        <v>0</v>
      </c>
      <c r="P21" s="89"/>
      <c r="Q21" s="90">
        <f t="shared" si="11"/>
        <v>0</v>
      </c>
      <c r="R21" s="91">
        <f t="shared" si="12"/>
        <v>0</v>
      </c>
      <c r="S21" s="92">
        <f t="shared" si="13"/>
        <v>0</v>
      </c>
      <c r="T21" s="89"/>
      <c r="U21" s="90">
        <f t="shared" si="14"/>
        <v>0</v>
      </c>
      <c r="V21" s="91">
        <f t="shared" si="15"/>
        <v>0</v>
      </c>
      <c r="W21" s="88">
        <f t="shared" si="16"/>
        <v>0</v>
      </c>
      <c r="X21" s="89"/>
      <c r="Y21" s="90">
        <f t="shared" si="17"/>
        <v>0</v>
      </c>
      <c r="Z21" s="91">
        <f t="shared" si="18"/>
        <v>0</v>
      </c>
      <c r="AA21" s="92">
        <f t="shared" si="19"/>
        <v>0</v>
      </c>
      <c r="AB21" s="89"/>
      <c r="AC21" s="90">
        <f t="shared" si="20"/>
        <v>0</v>
      </c>
      <c r="AD21" s="91">
        <f t="shared" si="21"/>
        <v>0</v>
      </c>
      <c r="AE21" s="88">
        <f t="shared" si="22"/>
        <v>0</v>
      </c>
      <c r="AF21" s="89">
        <v>0.1</v>
      </c>
      <c r="AG21" s="90">
        <f t="shared" si="23"/>
        <v>0</v>
      </c>
      <c r="AH21" s="91">
        <f t="shared" si="24"/>
        <v>0.1</v>
      </c>
      <c r="AI21" s="88">
        <f t="shared" si="25"/>
        <v>0</v>
      </c>
      <c r="AJ21" s="89">
        <v>0.1</v>
      </c>
      <c r="AK21" s="90">
        <f t="shared" si="26"/>
        <v>0</v>
      </c>
      <c r="AL21" s="91">
        <f t="shared" si="27"/>
        <v>0.1</v>
      </c>
      <c r="AM21" s="88">
        <f t="shared" si="28"/>
        <v>0</v>
      </c>
      <c r="AN21" s="89">
        <v>0.3</v>
      </c>
      <c r="AO21" s="90">
        <f t="shared" si="29"/>
        <v>0</v>
      </c>
      <c r="AP21" s="91">
        <f t="shared" si="30"/>
        <v>0.3</v>
      </c>
      <c r="AQ21" s="88">
        <f t="shared" si="31"/>
        <v>0</v>
      </c>
      <c r="AR21" s="89">
        <v>0.5</v>
      </c>
      <c r="AS21" s="90">
        <f t="shared" si="32"/>
        <v>0</v>
      </c>
      <c r="AT21" s="91">
        <f t="shared" si="33"/>
        <v>0.5</v>
      </c>
      <c r="AU21" s="88"/>
      <c r="AV21" s="89"/>
      <c r="AW21" s="90"/>
      <c r="AX21" s="91"/>
      <c r="AY21" s="88"/>
      <c r="AZ21" s="89"/>
      <c r="BA21" s="90"/>
      <c r="BB21" s="91"/>
      <c r="BC21" s="88"/>
      <c r="BD21" s="89"/>
      <c r="BE21" s="90"/>
      <c r="BF21" s="91"/>
      <c r="BG21" s="88"/>
      <c r="BH21" s="89"/>
      <c r="BI21" s="90"/>
      <c r="BJ21" s="91"/>
      <c r="BK21" s="88"/>
      <c r="BL21" s="89"/>
      <c r="BM21" s="90"/>
      <c r="BN21" s="91"/>
      <c r="BO21" s="88"/>
      <c r="BP21" s="89"/>
      <c r="BQ21" s="90"/>
      <c r="BR21" s="91"/>
      <c r="BT21" s="94">
        <f t="shared" si="0"/>
        <v>1</v>
      </c>
      <c r="BU21" s="94">
        <f t="shared" si="1"/>
        <v>1</v>
      </c>
      <c r="BV21" s="104">
        <v>16</v>
      </c>
    </row>
    <row r="22" spans="1:74" s="102" customFormat="1" ht="10.95" customHeight="1" x14ac:dyDescent="0.2">
      <c r="A22" s="45">
        <v>17</v>
      </c>
      <c r="B22" s="176" t="str">
        <f>VLOOKUP(A22,'Orçamento Desonerado'!$A$10:$L$734,4,FALSE)</f>
        <v>CABEAMENTO ESTRUTURADO</v>
      </c>
      <c r="C22" s="197">
        <f>'Orçamento Desonerado'!J597</f>
        <v>0</v>
      </c>
      <c r="D22" s="197">
        <f>'Orçamento Desonerado'!K597</f>
        <v>0</v>
      </c>
      <c r="E22" s="96">
        <f t="shared" si="2"/>
        <v>0</v>
      </c>
      <c r="F22" s="96" t="e">
        <f t="shared" si="3"/>
        <v>#DIV/0!</v>
      </c>
      <c r="G22" s="97">
        <f t="shared" si="4"/>
        <v>0</v>
      </c>
      <c r="H22" s="198"/>
      <c r="I22" s="99">
        <f t="shared" si="5"/>
        <v>0</v>
      </c>
      <c r="J22" s="100">
        <f t="shared" si="6"/>
        <v>0</v>
      </c>
      <c r="K22" s="101">
        <f t="shared" si="7"/>
        <v>0</v>
      </c>
      <c r="L22" s="178"/>
      <c r="M22" s="99">
        <f t="shared" si="8"/>
        <v>0</v>
      </c>
      <c r="N22" s="100">
        <f t="shared" si="9"/>
        <v>0</v>
      </c>
      <c r="O22" s="97">
        <f t="shared" si="10"/>
        <v>0</v>
      </c>
      <c r="P22" s="178"/>
      <c r="Q22" s="99">
        <f t="shared" si="11"/>
        <v>0</v>
      </c>
      <c r="R22" s="100">
        <f t="shared" si="12"/>
        <v>0</v>
      </c>
      <c r="S22" s="101">
        <f t="shared" si="13"/>
        <v>0</v>
      </c>
      <c r="T22" s="178"/>
      <c r="U22" s="99">
        <f t="shared" si="14"/>
        <v>0</v>
      </c>
      <c r="V22" s="100">
        <f t="shared" si="15"/>
        <v>0</v>
      </c>
      <c r="W22" s="97">
        <f t="shared" si="16"/>
        <v>0</v>
      </c>
      <c r="X22" s="178"/>
      <c r="Y22" s="99">
        <f t="shared" si="17"/>
        <v>0</v>
      </c>
      <c r="Z22" s="100">
        <f t="shared" si="18"/>
        <v>0</v>
      </c>
      <c r="AA22" s="101">
        <f t="shared" si="19"/>
        <v>0</v>
      </c>
      <c r="AB22" s="178"/>
      <c r="AC22" s="99">
        <f t="shared" si="20"/>
        <v>0</v>
      </c>
      <c r="AD22" s="100">
        <f t="shared" si="21"/>
        <v>0</v>
      </c>
      <c r="AE22" s="97">
        <f t="shared" si="22"/>
        <v>0</v>
      </c>
      <c r="AF22" s="178"/>
      <c r="AG22" s="99">
        <f t="shared" si="23"/>
        <v>0</v>
      </c>
      <c r="AH22" s="100">
        <f t="shared" si="24"/>
        <v>0</v>
      </c>
      <c r="AI22" s="97">
        <f t="shared" si="25"/>
        <v>0</v>
      </c>
      <c r="AJ22" s="178"/>
      <c r="AK22" s="99">
        <f t="shared" si="26"/>
        <v>0</v>
      </c>
      <c r="AL22" s="100">
        <f t="shared" si="27"/>
        <v>0</v>
      </c>
      <c r="AM22" s="97">
        <f t="shared" si="28"/>
        <v>0</v>
      </c>
      <c r="AN22" s="178"/>
      <c r="AO22" s="99">
        <f t="shared" si="29"/>
        <v>0</v>
      </c>
      <c r="AP22" s="100">
        <f t="shared" si="30"/>
        <v>0</v>
      </c>
      <c r="AQ22" s="97">
        <f t="shared" si="31"/>
        <v>0</v>
      </c>
      <c r="AR22" s="178">
        <v>1</v>
      </c>
      <c r="AS22" s="99">
        <f t="shared" si="32"/>
        <v>0</v>
      </c>
      <c r="AT22" s="100">
        <f t="shared" si="33"/>
        <v>1</v>
      </c>
      <c r="AU22" s="97">
        <f t="shared" si="34"/>
        <v>0</v>
      </c>
      <c r="AV22" s="178">
        <v>0</v>
      </c>
      <c r="AW22" s="99">
        <f t="shared" si="35"/>
        <v>0</v>
      </c>
      <c r="AX22" s="100">
        <v>0</v>
      </c>
      <c r="AY22" s="97">
        <f t="shared" si="36"/>
        <v>0</v>
      </c>
      <c r="AZ22" s="178">
        <v>0</v>
      </c>
      <c r="BA22" s="99">
        <f t="shared" si="37"/>
        <v>0</v>
      </c>
      <c r="BB22" s="100">
        <v>0</v>
      </c>
      <c r="BC22" s="97">
        <f t="shared" si="38"/>
        <v>0</v>
      </c>
      <c r="BD22" s="178">
        <v>0</v>
      </c>
      <c r="BE22" s="99">
        <f t="shared" si="39"/>
        <v>0</v>
      </c>
      <c r="BF22" s="100">
        <v>0</v>
      </c>
      <c r="BG22" s="97">
        <f t="shared" si="40"/>
        <v>0</v>
      </c>
      <c r="BH22" s="178">
        <v>0</v>
      </c>
      <c r="BI22" s="99">
        <f t="shared" si="41"/>
        <v>0</v>
      </c>
      <c r="BJ22" s="100">
        <v>0</v>
      </c>
      <c r="BK22" s="97">
        <f t="shared" si="42"/>
        <v>0</v>
      </c>
      <c r="BL22" s="178">
        <v>0</v>
      </c>
      <c r="BM22" s="99">
        <f t="shared" si="43"/>
        <v>0</v>
      </c>
      <c r="BN22" s="100">
        <v>0</v>
      </c>
      <c r="BO22" s="97">
        <f t="shared" si="44"/>
        <v>0</v>
      </c>
      <c r="BP22" s="178">
        <v>0</v>
      </c>
      <c r="BQ22" s="99">
        <f t="shared" si="45"/>
        <v>0</v>
      </c>
      <c r="BR22" s="100">
        <v>0</v>
      </c>
      <c r="BT22" s="140">
        <f t="shared" si="0"/>
        <v>1</v>
      </c>
      <c r="BU22" s="140">
        <f t="shared" si="1"/>
        <v>1</v>
      </c>
      <c r="BV22" s="102">
        <v>17</v>
      </c>
    </row>
    <row r="23" spans="1:74" s="104" customFormat="1" ht="10.95" customHeight="1" x14ac:dyDescent="0.2">
      <c r="A23" s="86">
        <v>18</v>
      </c>
      <c r="B23" s="195" t="str">
        <f>VLOOKUP(A23,'Orçamento Desonerado'!$A$10:$L$734,4,FALSE)</f>
        <v>COMPLEMENTAÇÃO DA OBRA</v>
      </c>
      <c r="C23" s="196">
        <f>'Orçamento Desonerado'!J609</f>
        <v>0</v>
      </c>
      <c r="D23" s="196">
        <f>'Orçamento Desonerado'!K609</f>
        <v>0</v>
      </c>
      <c r="E23" s="87">
        <f t="shared" ref="E23" si="46">C23+D23</f>
        <v>0</v>
      </c>
      <c r="F23" s="87" t="e">
        <f t="shared" ref="F23" si="47">+E23/E$25*100</f>
        <v>#DIV/0!</v>
      </c>
      <c r="G23" s="88">
        <f t="shared" ref="G23" si="48">+H23*$C23</f>
        <v>0</v>
      </c>
      <c r="H23" s="182"/>
      <c r="I23" s="90">
        <f t="shared" ref="I23" si="49">+J23*$D23</f>
        <v>0</v>
      </c>
      <c r="J23" s="91">
        <f t="shared" ref="J23" si="50">H23</f>
        <v>0</v>
      </c>
      <c r="K23" s="92">
        <f t="shared" ref="K23" si="51">+L23*$C23</f>
        <v>0</v>
      </c>
      <c r="L23" s="89"/>
      <c r="M23" s="90">
        <f t="shared" ref="M23" si="52">+N23*$D23</f>
        <v>0</v>
      </c>
      <c r="N23" s="91">
        <f t="shared" ref="N23" si="53">L23</f>
        <v>0</v>
      </c>
      <c r="O23" s="88">
        <f t="shared" ref="O23" si="54">+P23*$C23</f>
        <v>0</v>
      </c>
      <c r="P23" s="89"/>
      <c r="Q23" s="90">
        <f t="shared" ref="Q23" si="55">+R23*$D23</f>
        <v>0</v>
      </c>
      <c r="R23" s="91">
        <f t="shared" ref="R23" si="56">P23</f>
        <v>0</v>
      </c>
      <c r="S23" s="92">
        <f t="shared" ref="S23" si="57">+T23*$C23</f>
        <v>0</v>
      </c>
      <c r="T23" s="89"/>
      <c r="U23" s="90">
        <f t="shared" ref="U23" si="58">+V23*$D23</f>
        <v>0</v>
      </c>
      <c r="V23" s="91">
        <f t="shared" ref="V23" si="59">T23</f>
        <v>0</v>
      </c>
      <c r="W23" s="88">
        <f t="shared" ref="W23" si="60">+X23*$C23</f>
        <v>0</v>
      </c>
      <c r="X23" s="89"/>
      <c r="Y23" s="90">
        <f t="shared" ref="Y23" si="61">+Z23*$D23</f>
        <v>0</v>
      </c>
      <c r="Z23" s="91">
        <f t="shared" ref="Z23" si="62">X23</f>
        <v>0</v>
      </c>
      <c r="AA23" s="92">
        <f t="shared" ref="AA23" si="63">+AB23*$C23</f>
        <v>0</v>
      </c>
      <c r="AB23" s="89"/>
      <c r="AC23" s="90">
        <f t="shared" ref="AC23" si="64">+AD23*$D23</f>
        <v>0</v>
      </c>
      <c r="AD23" s="91">
        <f t="shared" ref="AD23" si="65">AB23</f>
        <v>0</v>
      </c>
      <c r="AE23" s="88">
        <f t="shared" ref="AE23" si="66">+AF23*$C23</f>
        <v>0</v>
      </c>
      <c r="AF23" s="89">
        <v>0.1</v>
      </c>
      <c r="AG23" s="90">
        <f t="shared" ref="AG23" si="67">+AH23*$D23</f>
        <v>0</v>
      </c>
      <c r="AH23" s="91">
        <f t="shared" ref="AH23" si="68">AF23</f>
        <v>0.1</v>
      </c>
      <c r="AI23" s="88">
        <f t="shared" ref="AI23" si="69">+AJ23*$C23</f>
        <v>0</v>
      </c>
      <c r="AJ23" s="89">
        <v>0.1</v>
      </c>
      <c r="AK23" s="90">
        <f t="shared" ref="AK23" si="70">+AL23*$D23</f>
        <v>0</v>
      </c>
      <c r="AL23" s="91">
        <f t="shared" ref="AL23" si="71">AJ23</f>
        <v>0.1</v>
      </c>
      <c r="AM23" s="88">
        <f t="shared" ref="AM23" si="72">+AN23*$C23</f>
        <v>0</v>
      </c>
      <c r="AN23" s="89">
        <v>0.3</v>
      </c>
      <c r="AO23" s="90">
        <f t="shared" ref="AO23" si="73">+AP23*$D23</f>
        <v>0</v>
      </c>
      <c r="AP23" s="91">
        <f t="shared" ref="AP23" si="74">AN23</f>
        <v>0.3</v>
      </c>
      <c r="AQ23" s="88">
        <f t="shared" ref="AQ23" si="75">+AR23*$C23</f>
        <v>0</v>
      </c>
      <c r="AR23" s="89">
        <v>0.5</v>
      </c>
      <c r="AS23" s="90">
        <f t="shared" ref="AS23" si="76">+AT23*$D23</f>
        <v>0</v>
      </c>
      <c r="AT23" s="91">
        <f t="shared" ref="AT23" si="77">AR23</f>
        <v>0.5</v>
      </c>
      <c r="AU23" s="88"/>
      <c r="AV23" s="89"/>
      <c r="AW23" s="90"/>
      <c r="AX23" s="91"/>
      <c r="AY23" s="88"/>
      <c r="AZ23" s="89"/>
      <c r="BA23" s="90"/>
      <c r="BB23" s="91"/>
      <c r="BC23" s="88"/>
      <c r="BD23" s="89"/>
      <c r="BE23" s="90"/>
      <c r="BF23" s="91"/>
      <c r="BG23" s="88"/>
      <c r="BH23" s="89"/>
      <c r="BI23" s="90"/>
      <c r="BJ23" s="91"/>
      <c r="BK23" s="88"/>
      <c r="BL23" s="89"/>
      <c r="BM23" s="90"/>
      <c r="BN23" s="91"/>
      <c r="BO23" s="88"/>
      <c r="BP23" s="89"/>
      <c r="BQ23" s="90"/>
      <c r="BR23" s="91"/>
      <c r="BT23" s="94">
        <f t="shared" ref="BT23" si="78">+BP23+BL23+BH23+BD23+AZ23+AV23+AR23+AN23+AJ23+AF23+AB23+X23+T23+P23+L23+H23</f>
        <v>1</v>
      </c>
      <c r="BU23" s="94">
        <f t="shared" ref="BU23" si="79">+BR23+BN23+BJ23+BF23+BB23+AX23+AT23+AP23+AL23+AH23+AD23+Z23+V23+R23+N23+J23</f>
        <v>1</v>
      </c>
      <c r="BV23" s="104">
        <v>16</v>
      </c>
    </row>
    <row r="24" spans="1:74" s="102" customFormat="1" ht="10.95" customHeight="1" x14ac:dyDescent="0.2">
      <c r="A24" s="74"/>
      <c r="B24" s="75"/>
      <c r="C24" s="95"/>
      <c r="D24" s="95"/>
      <c r="E24" s="96"/>
      <c r="F24" s="96"/>
      <c r="G24" s="97"/>
      <c r="H24" s="183"/>
      <c r="I24" s="99"/>
      <c r="J24" s="100"/>
      <c r="K24" s="101"/>
      <c r="L24" s="98"/>
      <c r="M24" s="99"/>
      <c r="N24" s="100"/>
      <c r="O24" s="97"/>
      <c r="P24" s="98"/>
      <c r="Q24" s="99"/>
      <c r="R24" s="100"/>
      <c r="S24" s="101"/>
      <c r="T24" s="98"/>
      <c r="U24" s="99"/>
      <c r="V24" s="100"/>
      <c r="W24" s="97"/>
      <c r="X24" s="98"/>
      <c r="Y24" s="99"/>
      <c r="Z24" s="100"/>
      <c r="AA24" s="101"/>
      <c r="AB24" s="98"/>
      <c r="AC24" s="99"/>
      <c r="AD24" s="98"/>
      <c r="AE24" s="97"/>
      <c r="AF24" s="98"/>
      <c r="AG24" s="99"/>
      <c r="AH24" s="98"/>
      <c r="AI24" s="97"/>
      <c r="AJ24" s="98"/>
      <c r="AK24" s="99"/>
      <c r="AL24" s="98"/>
      <c r="AM24" s="97"/>
      <c r="AN24" s="98"/>
      <c r="AO24" s="99"/>
      <c r="AP24" s="98"/>
      <c r="AQ24" s="97"/>
      <c r="AR24" s="98"/>
      <c r="AS24" s="99"/>
      <c r="AT24" s="300"/>
      <c r="AU24" s="97"/>
      <c r="AV24" s="98"/>
      <c r="AW24" s="99"/>
      <c r="AX24" s="100"/>
      <c r="AY24" s="97"/>
      <c r="AZ24" s="98"/>
      <c r="BA24" s="99"/>
      <c r="BB24" s="100"/>
      <c r="BC24" s="97"/>
      <c r="BD24" s="98"/>
      <c r="BE24" s="99"/>
      <c r="BF24" s="100"/>
      <c r="BG24" s="97"/>
      <c r="BH24" s="98"/>
      <c r="BI24" s="99"/>
      <c r="BJ24" s="100"/>
      <c r="BK24" s="97"/>
      <c r="BL24" s="98"/>
      <c r="BM24" s="99"/>
      <c r="BN24" s="100"/>
      <c r="BO24" s="97"/>
      <c r="BP24" s="98"/>
      <c r="BQ24" s="99"/>
      <c r="BR24" s="100"/>
      <c r="BT24" s="140"/>
      <c r="BU24" s="140"/>
    </row>
    <row r="25" spans="1:74" s="44" customFormat="1" ht="10.95" customHeight="1" x14ac:dyDescent="0.2">
      <c r="A25" s="105"/>
      <c r="B25" s="106" t="s">
        <v>387</v>
      </c>
      <c r="C25" s="107">
        <f>TRUNC(SUM(C6:C23),2)</f>
        <v>0</v>
      </c>
      <c r="D25" s="107">
        <f>TRUNC(SUM(D6:D23),2)</f>
        <v>0</v>
      </c>
      <c r="E25" s="108">
        <f>SUM(E6:E23)</f>
        <v>0</v>
      </c>
      <c r="F25" s="108" t="e">
        <f>SUM(F6:F24)</f>
        <v>#DIV/0!</v>
      </c>
      <c r="G25" s="109"/>
      <c r="H25" s="184"/>
      <c r="I25" s="95"/>
      <c r="J25" s="110"/>
      <c r="K25" s="111"/>
      <c r="L25" s="95"/>
      <c r="M25" s="95"/>
      <c r="N25" s="112"/>
      <c r="O25" s="109"/>
      <c r="P25" s="95"/>
      <c r="Q25" s="95"/>
      <c r="R25" s="110"/>
      <c r="S25" s="111"/>
      <c r="T25" s="95"/>
      <c r="U25" s="95"/>
      <c r="V25" s="112"/>
      <c r="W25" s="109"/>
      <c r="X25" s="95"/>
      <c r="Y25" s="95"/>
      <c r="Z25" s="110"/>
      <c r="AA25" s="111"/>
      <c r="AB25" s="95"/>
      <c r="AC25" s="95"/>
      <c r="AD25" s="110"/>
      <c r="AE25" s="109"/>
      <c r="AF25" s="95"/>
      <c r="AG25" s="95"/>
      <c r="AH25" s="110"/>
      <c r="AI25" s="109"/>
      <c r="AJ25" s="95"/>
      <c r="AK25" s="95"/>
      <c r="AL25" s="110"/>
      <c r="AM25" s="109"/>
      <c r="AN25" s="95"/>
      <c r="AO25" s="95"/>
      <c r="AP25" s="110"/>
      <c r="AQ25" s="109"/>
      <c r="AR25" s="95"/>
      <c r="AS25" s="95"/>
      <c r="AT25" s="110"/>
      <c r="AU25" s="109"/>
      <c r="AV25" s="95"/>
      <c r="AW25" s="95"/>
      <c r="AX25" s="110"/>
      <c r="AY25" s="109"/>
      <c r="AZ25" s="95"/>
      <c r="BA25" s="95"/>
      <c r="BB25" s="110"/>
      <c r="BC25" s="109"/>
      <c r="BD25" s="95"/>
      <c r="BE25" s="95"/>
      <c r="BF25" s="110"/>
      <c r="BG25" s="109"/>
      <c r="BH25" s="95"/>
      <c r="BI25" s="95"/>
      <c r="BJ25" s="110"/>
      <c r="BK25" s="109"/>
      <c r="BL25" s="95"/>
      <c r="BM25" s="95"/>
      <c r="BN25" s="110"/>
      <c r="BO25" s="109"/>
      <c r="BP25" s="95"/>
      <c r="BQ25" s="95"/>
      <c r="BR25" s="110"/>
      <c r="BT25" s="36"/>
      <c r="BU25" s="36"/>
    </row>
    <row r="26" spans="1:74" s="102" customFormat="1" ht="10.95" customHeight="1" x14ac:dyDescent="0.2">
      <c r="A26" s="113"/>
      <c r="B26" s="46"/>
      <c r="C26" s="114"/>
      <c r="D26" s="115"/>
      <c r="E26" s="115"/>
      <c r="F26" s="115"/>
      <c r="G26" s="116"/>
      <c r="H26" s="185"/>
      <c r="I26" s="118"/>
      <c r="J26" s="119"/>
      <c r="K26" s="120"/>
      <c r="L26" s="117"/>
      <c r="M26" s="118"/>
      <c r="N26" s="121"/>
      <c r="O26" s="116"/>
      <c r="P26" s="117"/>
      <c r="Q26" s="118"/>
      <c r="R26" s="119"/>
      <c r="S26" s="120"/>
      <c r="T26" s="117"/>
      <c r="U26" s="118"/>
      <c r="V26" s="121"/>
      <c r="W26" s="116"/>
      <c r="X26" s="117"/>
      <c r="Y26" s="118"/>
      <c r="Z26" s="119"/>
      <c r="AA26" s="120"/>
      <c r="AB26" s="117"/>
      <c r="AC26" s="118"/>
      <c r="AD26" s="119"/>
      <c r="AE26" s="116"/>
      <c r="AF26" s="117"/>
      <c r="AG26" s="118"/>
      <c r="AH26" s="119"/>
      <c r="AI26" s="116"/>
      <c r="AJ26" s="117"/>
      <c r="AK26" s="118"/>
      <c r="AL26" s="119"/>
      <c r="AM26" s="116"/>
      <c r="AN26" s="117"/>
      <c r="AO26" s="118"/>
      <c r="AP26" s="119"/>
      <c r="AQ26" s="116"/>
      <c r="AR26" s="117"/>
      <c r="AS26" s="118"/>
      <c r="AT26" s="119"/>
      <c r="AU26" s="116"/>
      <c r="AV26" s="117"/>
      <c r="AW26" s="118"/>
      <c r="AX26" s="119"/>
      <c r="AY26" s="116"/>
      <c r="AZ26" s="117"/>
      <c r="BA26" s="118"/>
      <c r="BB26" s="119"/>
      <c r="BC26" s="116"/>
      <c r="BD26" s="117"/>
      <c r="BE26" s="118"/>
      <c r="BF26" s="119"/>
      <c r="BG26" s="116"/>
      <c r="BH26" s="117"/>
      <c r="BI26" s="118"/>
      <c r="BJ26" s="119"/>
      <c r="BK26" s="116"/>
      <c r="BL26" s="117"/>
      <c r="BM26" s="118"/>
      <c r="BN26" s="119"/>
      <c r="BO26" s="116"/>
      <c r="BP26" s="117"/>
      <c r="BQ26" s="118"/>
      <c r="BR26" s="119"/>
      <c r="BT26" s="36"/>
      <c r="BU26" s="36"/>
    </row>
    <row r="27" spans="1:74" s="102" customFormat="1" ht="10.95" customHeight="1" x14ac:dyDescent="0.2">
      <c r="A27" s="113"/>
      <c r="B27" s="46" t="s">
        <v>388</v>
      </c>
      <c r="C27" s="114"/>
      <c r="D27" s="115"/>
      <c r="E27" s="115"/>
      <c r="F27" s="115"/>
      <c r="G27" s="122">
        <f>SUM(G6:G24)</f>
        <v>0</v>
      </c>
      <c r="H27" s="186" t="e">
        <f>+G27/$C25</f>
        <v>#DIV/0!</v>
      </c>
      <c r="I27" s="117"/>
      <c r="J27" s="124"/>
      <c r="K27" s="125">
        <f>SUM(K6:K24)</f>
        <v>0</v>
      </c>
      <c r="L27" s="123" t="e">
        <f>+K27/$C25</f>
        <v>#DIV/0!</v>
      </c>
      <c r="M27" s="117"/>
      <c r="N27" s="126"/>
      <c r="O27" s="122">
        <f>SUM(O6:O24)</f>
        <v>0</v>
      </c>
      <c r="P27" s="123" t="e">
        <f>+O27/$C25</f>
        <v>#DIV/0!</v>
      </c>
      <c r="Q27" s="117"/>
      <c r="R27" s="124"/>
      <c r="S27" s="125">
        <f>SUM(S6:S24)</f>
        <v>0</v>
      </c>
      <c r="T27" s="123" t="e">
        <f>+S27/$C25</f>
        <v>#DIV/0!</v>
      </c>
      <c r="U27" s="117"/>
      <c r="V27" s="126"/>
      <c r="W27" s="122">
        <f>SUM(W6:W24)</f>
        <v>0</v>
      </c>
      <c r="X27" s="123" t="e">
        <f>+W27/$C25</f>
        <v>#DIV/0!</v>
      </c>
      <c r="Y27" s="117"/>
      <c r="Z27" s="124"/>
      <c r="AA27" s="125">
        <f>SUM(AA6:AA24)</f>
        <v>0</v>
      </c>
      <c r="AB27" s="123" t="e">
        <f>+AA27/$C25</f>
        <v>#DIV/0!</v>
      </c>
      <c r="AC27" s="117"/>
      <c r="AD27" s="124"/>
      <c r="AE27" s="122">
        <f>SUM(AE6:AE24)</f>
        <v>0</v>
      </c>
      <c r="AF27" s="123" t="e">
        <f>+AE27/$C25</f>
        <v>#DIV/0!</v>
      </c>
      <c r="AG27" s="117"/>
      <c r="AH27" s="124"/>
      <c r="AI27" s="122">
        <f>SUM(AI6:AI24)</f>
        <v>0</v>
      </c>
      <c r="AJ27" s="123" t="e">
        <f>+AI27/$C25</f>
        <v>#DIV/0!</v>
      </c>
      <c r="AK27" s="117"/>
      <c r="AL27" s="124"/>
      <c r="AM27" s="122">
        <f>SUM(AM6:AM24)</f>
        <v>0</v>
      </c>
      <c r="AN27" s="123" t="e">
        <f>+AM27/$C25</f>
        <v>#DIV/0!</v>
      </c>
      <c r="AO27" s="117"/>
      <c r="AP27" s="124"/>
      <c r="AQ27" s="122">
        <f>SUM(AQ6:AQ24)</f>
        <v>0</v>
      </c>
      <c r="AR27" s="123" t="e">
        <f>+AQ27/$C25</f>
        <v>#DIV/0!</v>
      </c>
      <c r="AS27" s="117"/>
      <c r="AT27" s="124"/>
      <c r="AU27" s="122">
        <f>SUM(AU6:AU24)</f>
        <v>0</v>
      </c>
      <c r="AV27" s="123" t="e">
        <f>+AU27/$C25</f>
        <v>#DIV/0!</v>
      </c>
      <c r="AW27" s="117"/>
      <c r="AX27" s="124"/>
      <c r="AY27" s="122">
        <f>SUM(AY6:AY24)</f>
        <v>0</v>
      </c>
      <c r="AZ27" s="123" t="e">
        <f>+AY27/$C25</f>
        <v>#DIV/0!</v>
      </c>
      <c r="BA27" s="117"/>
      <c r="BB27" s="124"/>
      <c r="BC27" s="122">
        <f>SUM(BC6:BC24)</f>
        <v>0</v>
      </c>
      <c r="BD27" s="123" t="e">
        <f>+BC27/$C25</f>
        <v>#DIV/0!</v>
      </c>
      <c r="BE27" s="117"/>
      <c r="BF27" s="124"/>
      <c r="BG27" s="122">
        <f>SUM(BG6:BG24)</f>
        <v>0</v>
      </c>
      <c r="BH27" s="123" t="e">
        <f>+BG27/$C25</f>
        <v>#DIV/0!</v>
      </c>
      <c r="BI27" s="117"/>
      <c r="BJ27" s="124"/>
      <c r="BK27" s="122">
        <f>SUM(BK6:BK24)</f>
        <v>0</v>
      </c>
      <c r="BL27" s="123" t="e">
        <f>+BK27/$C25</f>
        <v>#DIV/0!</v>
      </c>
      <c r="BM27" s="117"/>
      <c r="BN27" s="124"/>
      <c r="BO27" s="122">
        <f>SUM(BO6:BO24)</f>
        <v>0</v>
      </c>
      <c r="BP27" s="123" t="e">
        <f>+BO27/$C25</f>
        <v>#DIV/0!</v>
      </c>
      <c r="BQ27" s="117"/>
      <c r="BR27" s="124"/>
      <c r="BT27" s="36"/>
      <c r="BU27" s="36"/>
    </row>
    <row r="28" spans="1:74" s="102" customFormat="1" ht="10.95" customHeight="1" x14ac:dyDescent="0.2">
      <c r="A28" s="113"/>
      <c r="B28" s="46" t="s">
        <v>389</v>
      </c>
      <c r="C28" s="114"/>
      <c r="D28" s="115"/>
      <c r="E28" s="115"/>
      <c r="F28" s="115"/>
      <c r="G28" s="116"/>
      <c r="H28" s="185"/>
      <c r="I28" s="127">
        <f>SUM(I6:I24)</f>
        <v>0</v>
      </c>
      <c r="J28" s="128" t="e">
        <f>+I28/$D25</f>
        <v>#DIV/0!</v>
      </c>
      <c r="K28" s="120"/>
      <c r="L28" s="117"/>
      <c r="M28" s="127">
        <f>SUM(M6:M24)</f>
        <v>0</v>
      </c>
      <c r="N28" s="129" t="e">
        <f>+M28/$D25</f>
        <v>#DIV/0!</v>
      </c>
      <c r="O28" s="116"/>
      <c r="P28" s="117"/>
      <c r="Q28" s="127">
        <f>SUM(Q6:Q24)</f>
        <v>0</v>
      </c>
      <c r="R28" s="128" t="e">
        <f>+Q28/$D25</f>
        <v>#DIV/0!</v>
      </c>
      <c r="S28" s="120"/>
      <c r="T28" s="117"/>
      <c r="U28" s="127">
        <f>SUM(U6:U24)</f>
        <v>0</v>
      </c>
      <c r="V28" s="129" t="e">
        <f>+U28/$D25</f>
        <v>#DIV/0!</v>
      </c>
      <c r="W28" s="116"/>
      <c r="X28" s="117"/>
      <c r="Y28" s="127">
        <f>SUM(Y6:Y24)</f>
        <v>0</v>
      </c>
      <c r="Z28" s="128" t="e">
        <f>+Y28/$D25</f>
        <v>#DIV/0!</v>
      </c>
      <c r="AA28" s="120"/>
      <c r="AB28" s="117"/>
      <c r="AC28" s="127">
        <f>SUM(AC6:AC25)</f>
        <v>0</v>
      </c>
      <c r="AD28" s="128" t="e">
        <f>+AC28/$D25</f>
        <v>#DIV/0!</v>
      </c>
      <c r="AE28" s="116"/>
      <c r="AF28" s="117"/>
      <c r="AG28" s="127">
        <f>SUM(AG6:AG25)</f>
        <v>0</v>
      </c>
      <c r="AH28" s="128" t="e">
        <f>+AG28/$D25</f>
        <v>#DIV/0!</v>
      </c>
      <c r="AI28" s="116"/>
      <c r="AJ28" s="117"/>
      <c r="AK28" s="127">
        <f>SUM(AK6:AK25)</f>
        <v>0</v>
      </c>
      <c r="AL28" s="128" t="e">
        <f>+AK28/$D25</f>
        <v>#DIV/0!</v>
      </c>
      <c r="AM28" s="116"/>
      <c r="AN28" s="117"/>
      <c r="AO28" s="127">
        <f>SUM(AO6:AO25)</f>
        <v>0</v>
      </c>
      <c r="AP28" s="128" t="e">
        <f>+AO28/$D25</f>
        <v>#DIV/0!</v>
      </c>
      <c r="AQ28" s="116"/>
      <c r="AR28" s="117"/>
      <c r="AS28" s="127">
        <f>SUM(AS6:AS25)</f>
        <v>0</v>
      </c>
      <c r="AT28" s="128" t="e">
        <f>+AS28/$D25</f>
        <v>#DIV/0!</v>
      </c>
      <c r="AU28" s="116"/>
      <c r="AV28" s="117"/>
      <c r="AW28" s="127">
        <f>SUM(AW6:AW25)</f>
        <v>0</v>
      </c>
      <c r="AX28" s="128" t="e">
        <f>+AW28/$D25</f>
        <v>#DIV/0!</v>
      </c>
      <c r="AY28" s="116"/>
      <c r="AZ28" s="117"/>
      <c r="BA28" s="127">
        <f>SUM(BA6:BA25)</f>
        <v>0</v>
      </c>
      <c r="BB28" s="128" t="e">
        <f>+BA28/$D25</f>
        <v>#DIV/0!</v>
      </c>
      <c r="BC28" s="116"/>
      <c r="BD28" s="117"/>
      <c r="BE28" s="127">
        <f>SUM(BE6:BE25)</f>
        <v>0</v>
      </c>
      <c r="BF28" s="128" t="e">
        <f>+BE28/$D25</f>
        <v>#DIV/0!</v>
      </c>
      <c r="BG28" s="116"/>
      <c r="BH28" s="117"/>
      <c r="BI28" s="127">
        <f>SUM(BI6:BI25)</f>
        <v>0</v>
      </c>
      <c r="BJ28" s="128" t="e">
        <f>+BI28/$D25</f>
        <v>#DIV/0!</v>
      </c>
      <c r="BK28" s="116"/>
      <c r="BL28" s="117"/>
      <c r="BM28" s="127">
        <f>SUM(BM6:BM25)</f>
        <v>0</v>
      </c>
      <c r="BN28" s="128" t="e">
        <f>+BM28/$D25</f>
        <v>#DIV/0!</v>
      </c>
      <c r="BO28" s="116"/>
      <c r="BP28" s="117"/>
      <c r="BQ28" s="127">
        <f>SUM(BQ6:BQ25)</f>
        <v>0</v>
      </c>
      <c r="BR28" s="128" t="e">
        <f>+BQ28/$D25</f>
        <v>#DIV/0!</v>
      </c>
      <c r="BT28" s="36"/>
      <c r="BU28" s="36"/>
    </row>
    <row r="29" spans="1:74" s="102" customFormat="1" ht="10.95" customHeight="1" x14ac:dyDescent="0.2">
      <c r="A29" s="113"/>
      <c r="B29" s="46"/>
      <c r="C29" s="114"/>
      <c r="D29" s="115"/>
      <c r="E29" s="115"/>
      <c r="F29" s="115"/>
      <c r="G29" s="116"/>
      <c r="H29" s="185"/>
      <c r="I29" s="118"/>
      <c r="J29" s="119"/>
      <c r="K29" s="120"/>
      <c r="L29" s="117"/>
      <c r="M29" s="118"/>
      <c r="N29" s="121"/>
      <c r="O29" s="116"/>
      <c r="P29" s="117"/>
      <c r="Q29" s="118"/>
      <c r="R29" s="119"/>
      <c r="S29" s="120"/>
      <c r="T29" s="117"/>
      <c r="U29" s="118"/>
      <c r="V29" s="121"/>
      <c r="W29" s="116"/>
      <c r="X29" s="117"/>
      <c r="Y29" s="118"/>
      <c r="Z29" s="119"/>
      <c r="AA29" s="120"/>
      <c r="AB29" s="117"/>
      <c r="AC29" s="118"/>
      <c r="AD29" s="119"/>
      <c r="AE29" s="116"/>
      <c r="AF29" s="117"/>
      <c r="AG29" s="118"/>
      <c r="AH29" s="119"/>
      <c r="AI29" s="116"/>
      <c r="AJ29" s="117"/>
      <c r="AK29" s="118"/>
      <c r="AL29" s="119"/>
      <c r="AM29" s="116"/>
      <c r="AN29" s="117"/>
      <c r="AO29" s="118"/>
      <c r="AP29" s="119"/>
      <c r="AQ29" s="116"/>
      <c r="AR29" s="117"/>
      <c r="AS29" s="118"/>
      <c r="AT29" s="119"/>
      <c r="AU29" s="116"/>
      <c r="AV29" s="117"/>
      <c r="AW29" s="118"/>
      <c r="AX29" s="119"/>
      <c r="AY29" s="116"/>
      <c r="AZ29" s="117"/>
      <c r="BA29" s="118"/>
      <c r="BB29" s="119"/>
      <c r="BC29" s="116"/>
      <c r="BD29" s="117"/>
      <c r="BE29" s="118"/>
      <c r="BF29" s="119"/>
      <c r="BG29" s="116"/>
      <c r="BH29" s="117"/>
      <c r="BI29" s="118"/>
      <c r="BJ29" s="119"/>
      <c r="BK29" s="116"/>
      <c r="BL29" s="117"/>
      <c r="BM29" s="118"/>
      <c r="BN29" s="119"/>
      <c r="BO29" s="116"/>
      <c r="BP29" s="117"/>
      <c r="BQ29" s="118"/>
      <c r="BR29" s="119"/>
      <c r="BT29" s="36"/>
      <c r="BU29" s="36"/>
    </row>
    <row r="30" spans="1:74" s="102" customFormat="1" ht="10.95" customHeight="1" x14ac:dyDescent="0.2">
      <c r="A30" s="113"/>
      <c r="B30" s="46" t="s">
        <v>390</v>
      </c>
      <c r="C30" s="107">
        <f>TRUNC(+C25+C25*'Orçamento Desonerado'!$F$630/100,2)</f>
        <v>0</v>
      </c>
      <c r="D30" s="115"/>
      <c r="E30" s="115"/>
      <c r="F30" s="115"/>
      <c r="G30" s="122">
        <f>TRUNC(+G27+G27*'Orçamento Desonerado'!$F$630/100,2)</f>
        <v>0</v>
      </c>
      <c r="H30" s="186"/>
      <c r="I30" s="117"/>
      <c r="J30" s="124"/>
      <c r="K30" s="122">
        <f>TRUNC(+K27+K27*'Orçamento Desonerado'!$F$630/100,2)</f>
        <v>0</v>
      </c>
      <c r="L30" s="186"/>
      <c r="M30" s="117"/>
      <c r="N30" s="124"/>
      <c r="O30" s="122">
        <f>TRUNC(+O27+O27*'Orçamento Desonerado'!$F$630/100,2)</f>
        <v>0</v>
      </c>
      <c r="P30" s="186"/>
      <c r="Q30" s="117"/>
      <c r="R30" s="124"/>
      <c r="S30" s="122">
        <f>TRUNC(+S27+S27*'Orçamento Desonerado'!$F$630/100,2)</f>
        <v>0</v>
      </c>
      <c r="T30" s="186"/>
      <c r="U30" s="117"/>
      <c r="V30" s="124"/>
      <c r="W30" s="122">
        <f>TRUNC(+W27+W27*'Orçamento Desonerado'!$F$630/100,2)</f>
        <v>0</v>
      </c>
      <c r="X30" s="186"/>
      <c r="Y30" s="117"/>
      <c r="Z30" s="124"/>
      <c r="AA30" s="122">
        <f>TRUNC(+AA27+AA27*'Orçamento Desonerado'!$F$630/100,2)</f>
        <v>0</v>
      </c>
      <c r="AB30" s="186"/>
      <c r="AC30" s="117"/>
      <c r="AD30" s="124"/>
      <c r="AE30" s="122">
        <f>TRUNC(+AE27+AE27*'Orçamento Desonerado'!$F$630/100,2)</f>
        <v>0</v>
      </c>
      <c r="AF30" s="186"/>
      <c r="AG30" s="117"/>
      <c r="AH30" s="124"/>
      <c r="AI30" s="122">
        <f>TRUNC(+AI27+AI27*'Orçamento Desonerado'!$F$630/100,2)</f>
        <v>0</v>
      </c>
      <c r="AJ30" s="186"/>
      <c r="AK30" s="117"/>
      <c r="AL30" s="124"/>
      <c r="AM30" s="122">
        <f>TRUNC(+AM27+AM27*'Orçamento Desonerado'!$F$630/100,2)</f>
        <v>0</v>
      </c>
      <c r="AN30" s="186"/>
      <c r="AO30" s="117"/>
      <c r="AP30" s="124"/>
      <c r="AQ30" s="122">
        <f>TRUNC(+AQ27+AQ27*'Orçamento Desonerado'!$F$630/100,2)</f>
        <v>0</v>
      </c>
      <c r="AR30" s="186"/>
      <c r="AS30" s="117"/>
      <c r="AT30" s="124"/>
      <c r="AU30" s="122">
        <v>0</v>
      </c>
      <c r="AV30" s="123"/>
      <c r="AW30" s="117"/>
      <c r="AX30" s="124"/>
      <c r="AY30" s="122">
        <v>0</v>
      </c>
      <c r="AZ30" s="123"/>
      <c r="BA30" s="117"/>
      <c r="BB30" s="124"/>
      <c r="BC30" s="122">
        <v>0</v>
      </c>
      <c r="BD30" s="123"/>
      <c r="BE30" s="117"/>
      <c r="BF30" s="124"/>
      <c r="BG30" s="122">
        <v>0</v>
      </c>
      <c r="BH30" s="123"/>
      <c r="BI30" s="117"/>
      <c r="BJ30" s="124"/>
      <c r="BK30" s="122">
        <v>0</v>
      </c>
      <c r="BL30" s="123"/>
      <c r="BM30" s="117"/>
      <c r="BN30" s="124"/>
      <c r="BO30" s="122">
        <v>0</v>
      </c>
      <c r="BP30" s="123"/>
      <c r="BQ30" s="117"/>
      <c r="BR30" s="124"/>
      <c r="BT30" s="36"/>
      <c r="BU30" s="36"/>
    </row>
    <row r="31" spans="1:74" s="102" customFormat="1" ht="10.95" customHeight="1" x14ac:dyDescent="0.2">
      <c r="A31" s="113"/>
      <c r="B31" s="46" t="s">
        <v>391</v>
      </c>
      <c r="C31" s="114"/>
      <c r="D31" s="107">
        <f>TRUNC(+D25+D25*'Orçamento Desonerado'!$F$630/100,2)</f>
        <v>0</v>
      </c>
      <c r="E31" s="107">
        <f>SUM(C30,D31)</f>
        <v>0</v>
      </c>
      <c r="F31" s="115"/>
      <c r="G31" s="116"/>
      <c r="H31" s="187"/>
      <c r="I31" s="127">
        <f>TRUNC(+I28+I28*'Orçamento Desonerado'!$F$630/100,2)</f>
        <v>0</v>
      </c>
      <c r="J31" s="128"/>
      <c r="K31" s="116"/>
      <c r="L31" s="187"/>
      <c r="M31" s="127">
        <f>TRUNC(+M28+M28*'Orçamento Desonerado'!$F$630/100,2)</f>
        <v>0</v>
      </c>
      <c r="N31" s="128"/>
      <c r="O31" s="116"/>
      <c r="P31" s="187"/>
      <c r="Q31" s="127">
        <f>TRUNC(+Q28+Q28*'Orçamento Desonerado'!$F$630/100,2)</f>
        <v>0</v>
      </c>
      <c r="R31" s="128"/>
      <c r="S31" s="116"/>
      <c r="T31" s="187"/>
      <c r="U31" s="127">
        <f>TRUNC(+U28+U28*'Orçamento Desonerado'!$F$630/100,2)</f>
        <v>0</v>
      </c>
      <c r="V31" s="128"/>
      <c r="W31" s="116"/>
      <c r="X31" s="187"/>
      <c r="Y31" s="127">
        <f>TRUNC(+Y28+Y28*'Orçamento Desonerado'!$F$630/100,2)</f>
        <v>0</v>
      </c>
      <c r="Z31" s="128"/>
      <c r="AA31" s="116"/>
      <c r="AB31" s="187"/>
      <c r="AC31" s="127">
        <f>TRUNC(+AC28+AC28*'Orçamento Desonerado'!$F$630/100,2)</f>
        <v>0</v>
      </c>
      <c r="AD31" s="128"/>
      <c r="AE31" s="116"/>
      <c r="AF31" s="187"/>
      <c r="AG31" s="127">
        <f>TRUNC(+AG28+AG28*'Orçamento Desonerado'!$F$630/100,2)</f>
        <v>0</v>
      </c>
      <c r="AH31" s="128"/>
      <c r="AI31" s="116"/>
      <c r="AJ31" s="187"/>
      <c r="AK31" s="127">
        <f>TRUNC(+AK28+AK28*'Orçamento Desonerado'!$F$630/100,2)</f>
        <v>0</v>
      </c>
      <c r="AL31" s="128"/>
      <c r="AM31" s="116"/>
      <c r="AN31" s="187"/>
      <c r="AO31" s="127">
        <f>TRUNC(+AO28+AO28*'Orçamento Desonerado'!$F$630/100,2)</f>
        <v>0</v>
      </c>
      <c r="AP31" s="128"/>
      <c r="AQ31" s="116"/>
      <c r="AR31" s="187"/>
      <c r="AS31" s="127">
        <f>TRUNC(+AS28+AS28*'Orçamento Desonerado'!$F$630/100,2)</f>
        <v>0</v>
      </c>
      <c r="AT31" s="128"/>
      <c r="AU31" s="116"/>
      <c r="AV31" s="126"/>
      <c r="AW31" s="127">
        <v>0</v>
      </c>
      <c r="AX31" s="128"/>
      <c r="AY31" s="116"/>
      <c r="AZ31" s="126"/>
      <c r="BA31" s="127">
        <v>0</v>
      </c>
      <c r="BB31" s="128"/>
      <c r="BC31" s="116"/>
      <c r="BD31" s="126"/>
      <c r="BE31" s="127">
        <v>0</v>
      </c>
      <c r="BF31" s="128"/>
      <c r="BG31" s="116"/>
      <c r="BH31" s="126"/>
      <c r="BI31" s="127">
        <v>0</v>
      </c>
      <c r="BJ31" s="128"/>
      <c r="BK31" s="116"/>
      <c r="BL31" s="126"/>
      <c r="BM31" s="127">
        <v>0</v>
      </c>
      <c r="BN31" s="128"/>
      <c r="BO31" s="116"/>
      <c r="BP31" s="126"/>
      <c r="BQ31" s="127">
        <v>0</v>
      </c>
      <c r="BR31" s="128"/>
      <c r="BT31" s="36"/>
      <c r="BU31" s="36"/>
    </row>
    <row r="32" spans="1:74" s="102" customFormat="1" ht="10.95" customHeight="1" thickBot="1" x14ac:dyDescent="0.25">
      <c r="A32" s="130"/>
      <c r="B32" s="131"/>
      <c r="C32" s="132"/>
      <c r="D32" s="133"/>
      <c r="E32" s="133"/>
      <c r="F32" s="133"/>
      <c r="G32" s="134"/>
      <c r="H32" s="188"/>
      <c r="I32" s="136"/>
      <c r="J32" s="137"/>
      <c r="K32" s="138"/>
      <c r="L32" s="135"/>
      <c r="M32" s="136"/>
      <c r="N32" s="139"/>
      <c r="O32" s="134"/>
      <c r="P32" s="135"/>
      <c r="Q32" s="136"/>
      <c r="R32" s="137"/>
      <c r="S32" s="138"/>
      <c r="T32" s="135"/>
      <c r="U32" s="136"/>
      <c r="V32" s="139"/>
      <c r="W32" s="134"/>
      <c r="X32" s="135"/>
      <c r="Y32" s="136"/>
      <c r="Z32" s="137"/>
      <c r="AA32" s="138"/>
      <c r="AB32" s="135"/>
      <c r="AC32" s="136"/>
      <c r="AD32" s="137"/>
      <c r="AE32" s="134"/>
      <c r="AF32" s="135"/>
      <c r="AG32" s="136"/>
      <c r="AH32" s="137"/>
      <c r="AI32" s="134"/>
      <c r="AJ32" s="135"/>
      <c r="AK32" s="136"/>
      <c r="AL32" s="137"/>
      <c r="AM32" s="134"/>
      <c r="AN32" s="135"/>
      <c r="AO32" s="136"/>
      <c r="AP32" s="137"/>
      <c r="AQ32" s="134"/>
      <c r="AR32" s="135"/>
      <c r="AS32" s="136"/>
      <c r="AT32" s="137"/>
      <c r="AU32" s="134"/>
      <c r="AV32" s="135"/>
      <c r="AW32" s="136"/>
      <c r="AX32" s="137"/>
      <c r="AY32" s="134"/>
      <c r="AZ32" s="135"/>
      <c r="BA32" s="136"/>
      <c r="BB32" s="137"/>
      <c r="BC32" s="134"/>
      <c r="BD32" s="135"/>
      <c r="BE32" s="136"/>
      <c r="BF32" s="137"/>
      <c r="BG32" s="134"/>
      <c r="BH32" s="135"/>
      <c r="BI32" s="136"/>
      <c r="BJ32" s="137"/>
      <c r="BK32" s="134"/>
      <c r="BL32" s="135"/>
      <c r="BM32" s="136"/>
      <c r="BN32" s="137"/>
      <c r="BO32" s="134"/>
      <c r="BP32" s="135"/>
      <c r="BQ32" s="136"/>
      <c r="BR32" s="137"/>
      <c r="BT32" s="36"/>
      <c r="BU32" s="36"/>
    </row>
    <row r="33" spans="1:74" s="225" customFormat="1" ht="10.95" customHeight="1" thickBot="1" x14ac:dyDescent="0.25">
      <c r="A33" s="246"/>
      <c r="B33" s="247" t="s">
        <v>392</v>
      </c>
      <c r="C33" s="248"/>
      <c r="D33" s="248"/>
      <c r="E33" s="249"/>
      <c r="F33" s="249"/>
      <c r="G33" s="265"/>
      <c r="H33" s="266"/>
      <c r="I33" s="248"/>
      <c r="J33" s="267"/>
      <c r="K33" s="297"/>
      <c r="L33" s="266"/>
      <c r="M33" s="248"/>
      <c r="N33" s="249"/>
      <c r="O33" s="265"/>
      <c r="P33" s="266"/>
      <c r="Q33" s="248"/>
      <c r="R33" s="267"/>
      <c r="S33" s="297"/>
      <c r="T33" s="266"/>
      <c r="U33" s="248"/>
      <c r="V33" s="249"/>
      <c r="W33" s="265"/>
      <c r="X33" s="266"/>
      <c r="Y33" s="248"/>
      <c r="Z33" s="267"/>
      <c r="AA33" s="297"/>
      <c r="AB33" s="266"/>
      <c r="AC33" s="248"/>
      <c r="AD33" s="267"/>
      <c r="AE33" s="265"/>
      <c r="AF33" s="266"/>
      <c r="AG33" s="248"/>
      <c r="AH33" s="267"/>
      <c r="AI33" s="265"/>
      <c r="AJ33" s="266"/>
      <c r="AK33" s="248"/>
      <c r="AL33" s="267"/>
      <c r="AM33" s="265"/>
      <c r="AN33" s="266"/>
      <c r="AO33" s="248"/>
      <c r="AP33" s="267"/>
      <c r="AQ33" s="265"/>
      <c r="AR33" s="266"/>
      <c r="AS33" s="248"/>
      <c r="AT33" s="267"/>
      <c r="AU33" s="72"/>
      <c r="AV33" s="73"/>
      <c r="AW33" s="69"/>
      <c r="AX33" s="71"/>
      <c r="AY33" s="72"/>
      <c r="AZ33" s="73"/>
      <c r="BA33" s="69"/>
      <c r="BB33" s="71"/>
      <c r="BC33" s="72"/>
      <c r="BD33" s="73"/>
      <c r="BE33" s="69"/>
      <c r="BF33" s="71"/>
      <c r="BG33" s="72"/>
      <c r="BH33" s="73"/>
      <c r="BI33" s="69"/>
      <c r="BJ33" s="71"/>
      <c r="BK33" s="72"/>
      <c r="BL33" s="73"/>
      <c r="BM33" s="69"/>
      <c r="BN33" s="71"/>
      <c r="BO33" s="72"/>
      <c r="BP33" s="73"/>
      <c r="BQ33" s="69"/>
      <c r="BR33" s="71"/>
      <c r="BT33" s="226"/>
      <c r="BU33" s="226"/>
    </row>
    <row r="34" spans="1:74" s="227" customFormat="1" ht="10.95" customHeight="1" x14ac:dyDescent="0.2">
      <c r="A34" s="256">
        <v>19</v>
      </c>
      <c r="B34" s="257" t="str">
        <f>VLOOKUP(A34,'Orçamento Desonerado'!$A$10:$L$734,4,FALSE)</f>
        <v>EQUIPAMENTOS</v>
      </c>
      <c r="C34" s="258">
        <f>'Orçamento Desonerado'!J660</f>
        <v>0</v>
      </c>
      <c r="D34" s="258">
        <f>'Orçamento Desonerado'!K660</f>
        <v>0</v>
      </c>
      <c r="E34" s="259">
        <f>C34+D34</f>
        <v>0</v>
      </c>
      <c r="F34" s="259" t="e">
        <f>+E34/E$25*100</f>
        <v>#DIV/0!</v>
      </c>
      <c r="G34" s="278">
        <f>+H34*$C34</f>
        <v>0</v>
      </c>
      <c r="H34" s="279"/>
      <c r="I34" s="280">
        <f>+J34*$D34</f>
        <v>0</v>
      </c>
      <c r="J34" s="295">
        <v>0</v>
      </c>
      <c r="K34" s="278">
        <f>+L34*$C34</f>
        <v>0</v>
      </c>
      <c r="L34" s="299"/>
      <c r="M34" s="280">
        <f>+N34*$D34</f>
        <v>0</v>
      </c>
      <c r="N34" s="295">
        <v>0</v>
      </c>
      <c r="O34" s="278">
        <f>+P34*$C34</f>
        <v>0</v>
      </c>
      <c r="P34" s="299"/>
      <c r="Q34" s="280">
        <f>+R34*$D34</f>
        <v>0</v>
      </c>
      <c r="R34" s="295">
        <v>0</v>
      </c>
      <c r="S34" s="278">
        <f>+T34*$C34</f>
        <v>0</v>
      </c>
      <c r="T34" s="299"/>
      <c r="U34" s="280">
        <f>+V34*$D34</f>
        <v>0</v>
      </c>
      <c r="V34" s="295">
        <v>0</v>
      </c>
      <c r="W34" s="278">
        <f>+X34*$C34</f>
        <v>0</v>
      </c>
      <c r="X34" s="299"/>
      <c r="Y34" s="280">
        <f>+Z34*$D34</f>
        <v>0</v>
      </c>
      <c r="Z34" s="295">
        <v>0</v>
      </c>
      <c r="AA34" s="278">
        <f>+AB34*$C34</f>
        <v>0</v>
      </c>
      <c r="AB34" s="299"/>
      <c r="AC34" s="280">
        <f>+AD34*$D34</f>
        <v>0</v>
      </c>
      <c r="AD34" s="295">
        <v>0</v>
      </c>
      <c r="AE34" s="278">
        <f>+AF34*$C34</f>
        <v>0</v>
      </c>
      <c r="AF34" s="299">
        <v>0.2</v>
      </c>
      <c r="AG34" s="280">
        <f>+AH34*$D34</f>
        <v>0</v>
      </c>
      <c r="AH34" s="295">
        <v>0</v>
      </c>
      <c r="AI34" s="278">
        <f>+AJ34*$C34</f>
        <v>0</v>
      </c>
      <c r="AJ34" s="299">
        <v>0.2</v>
      </c>
      <c r="AK34" s="280">
        <f>+AL34*$D34</f>
        <v>0</v>
      </c>
      <c r="AL34" s="295">
        <v>0</v>
      </c>
      <c r="AM34" s="278">
        <f>+AN34*$C34</f>
        <v>0</v>
      </c>
      <c r="AN34" s="295">
        <v>0.4</v>
      </c>
      <c r="AO34" s="280">
        <f>+AP34*$D34</f>
        <v>0</v>
      </c>
      <c r="AP34" s="295">
        <v>0</v>
      </c>
      <c r="AQ34" s="278">
        <f>+AR34*$C34</f>
        <v>0</v>
      </c>
      <c r="AR34" s="295">
        <v>0.2</v>
      </c>
      <c r="AS34" s="280">
        <f>+AT34*$D34</f>
        <v>0</v>
      </c>
      <c r="AT34" s="281">
        <v>0</v>
      </c>
      <c r="AU34" s="92">
        <f>+AV34*$C34</f>
        <v>0</v>
      </c>
      <c r="AV34" s="103">
        <v>0</v>
      </c>
      <c r="AW34" s="90">
        <f>+AX34*$D34</f>
        <v>0</v>
      </c>
      <c r="AX34" s="91">
        <v>0</v>
      </c>
      <c r="AY34" s="88">
        <f>+AZ34*$C34</f>
        <v>0</v>
      </c>
      <c r="AZ34" s="103">
        <v>0</v>
      </c>
      <c r="BA34" s="90">
        <f>+BB34*$D34</f>
        <v>0</v>
      </c>
      <c r="BB34" s="91">
        <v>0</v>
      </c>
      <c r="BC34" s="88">
        <f>+BD34*$C34</f>
        <v>0</v>
      </c>
      <c r="BD34" s="103">
        <v>0</v>
      </c>
      <c r="BE34" s="90">
        <f>+BF34*$D34</f>
        <v>0</v>
      </c>
      <c r="BF34" s="91">
        <v>0</v>
      </c>
      <c r="BG34" s="88">
        <f>+BH34*$C34</f>
        <v>0</v>
      </c>
      <c r="BH34" s="103">
        <v>0</v>
      </c>
      <c r="BI34" s="90">
        <f>+BJ34*$D34</f>
        <v>0</v>
      </c>
      <c r="BJ34" s="91">
        <v>0</v>
      </c>
      <c r="BK34" s="88">
        <f>+BL34*$C34</f>
        <v>0</v>
      </c>
      <c r="BL34" s="103">
        <v>0</v>
      </c>
      <c r="BM34" s="90">
        <f>+BN34*$D34</f>
        <v>0</v>
      </c>
      <c r="BN34" s="91">
        <v>0</v>
      </c>
      <c r="BO34" s="88">
        <f>+BP34*$C34</f>
        <v>0</v>
      </c>
      <c r="BP34" s="103">
        <v>0</v>
      </c>
      <c r="BQ34" s="90">
        <f>+BR34*$D34</f>
        <v>0</v>
      </c>
      <c r="BR34" s="91">
        <v>0</v>
      </c>
      <c r="BT34" s="228">
        <f>+BP34+BL34+BH34+BD34+AZ34+AV34+AR34+AN34+AJ34+AF34+AB34+X34+T34+P34+L34+H34</f>
        <v>1</v>
      </c>
      <c r="BU34" s="228">
        <f>+BR34+BN34+BJ34+BF34+BB34+AX34+AT34+AP34+AL34+AH34+AD34+Z34+V34+R34+N34+J34</f>
        <v>0</v>
      </c>
      <c r="BV34" s="227">
        <v>18</v>
      </c>
    </row>
    <row r="35" spans="1:74" s="229" customFormat="1" ht="10.95" customHeight="1" x14ac:dyDescent="0.2">
      <c r="A35" s="260"/>
      <c r="B35" s="250"/>
      <c r="C35" s="251"/>
      <c r="D35" s="251"/>
      <c r="E35" s="252"/>
      <c r="F35" s="252"/>
      <c r="G35" s="282"/>
      <c r="H35" s="269"/>
      <c r="I35" s="268"/>
      <c r="J35" s="270"/>
      <c r="K35" s="282"/>
      <c r="L35" s="298"/>
      <c r="M35" s="268"/>
      <c r="N35" s="270"/>
      <c r="O35" s="282"/>
      <c r="P35" s="298"/>
      <c r="Q35" s="268"/>
      <c r="R35" s="270"/>
      <c r="S35" s="282"/>
      <c r="T35" s="298"/>
      <c r="U35" s="268"/>
      <c r="V35" s="270"/>
      <c r="W35" s="282"/>
      <c r="X35" s="298"/>
      <c r="Y35" s="268"/>
      <c r="Z35" s="270"/>
      <c r="AA35" s="282"/>
      <c r="AB35" s="298"/>
      <c r="AC35" s="268"/>
      <c r="AD35" s="270"/>
      <c r="AE35" s="282"/>
      <c r="AF35" s="298"/>
      <c r="AG35" s="268"/>
      <c r="AH35" s="270"/>
      <c r="AI35" s="282"/>
      <c r="AJ35" s="298"/>
      <c r="AK35" s="268"/>
      <c r="AL35" s="270"/>
      <c r="AM35" s="282"/>
      <c r="AN35" s="298"/>
      <c r="AO35" s="268"/>
      <c r="AP35" s="270"/>
      <c r="AQ35" s="282"/>
      <c r="AR35" s="298"/>
      <c r="AS35" s="268"/>
      <c r="AT35" s="283"/>
      <c r="AU35" s="101"/>
      <c r="AV35" s="98"/>
      <c r="AW35" s="99"/>
      <c r="AX35" s="100"/>
      <c r="AY35" s="97"/>
      <c r="AZ35" s="98"/>
      <c r="BA35" s="99"/>
      <c r="BB35" s="100"/>
      <c r="BC35" s="97"/>
      <c r="BD35" s="98"/>
      <c r="BE35" s="99"/>
      <c r="BF35" s="100"/>
      <c r="BG35" s="97"/>
      <c r="BH35" s="98"/>
      <c r="BI35" s="99"/>
      <c r="BJ35" s="100"/>
      <c r="BK35" s="97"/>
      <c r="BL35" s="98"/>
      <c r="BM35" s="99"/>
      <c r="BN35" s="100"/>
      <c r="BO35" s="97"/>
      <c r="BP35" s="98"/>
      <c r="BQ35" s="99"/>
      <c r="BR35" s="100"/>
      <c r="BT35" s="230"/>
      <c r="BU35" s="230"/>
    </row>
    <row r="36" spans="1:74" s="231" customFormat="1" ht="10.95" customHeight="1" x14ac:dyDescent="0.2">
      <c r="A36" s="261"/>
      <c r="B36" s="253" t="s">
        <v>573</v>
      </c>
      <c r="C36" s="254">
        <f>SUM(C34:C34)</f>
        <v>0</v>
      </c>
      <c r="D36" s="254">
        <f>SUM(D34:D35)</f>
        <v>0</v>
      </c>
      <c r="E36" s="254">
        <f>SUM(E34:E35)</f>
        <v>0</v>
      </c>
      <c r="F36" s="255" t="e">
        <f>SUM(F25:F35)</f>
        <v>#DIV/0!</v>
      </c>
      <c r="G36" s="284"/>
      <c r="H36" s="271"/>
      <c r="I36" s="251"/>
      <c r="J36" s="251"/>
      <c r="K36" s="284"/>
      <c r="L36" s="251"/>
      <c r="M36" s="251"/>
      <c r="N36" s="251"/>
      <c r="O36" s="284"/>
      <c r="P36" s="251"/>
      <c r="Q36" s="251"/>
      <c r="R36" s="251"/>
      <c r="S36" s="284"/>
      <c r="T36" s="251"/>
      <c r="U36" s="251"/>
      <c r="V36" s="251"/>
      <c r="W36" s="284"/>
      <c r="X36" s="251"/>
      <c r="Y36" s="251"/>
      <c r="Z36" s="251"/>
      <c r="AA36" s="284"/>
      <c r="AB36" s="251"/>
      <c r="AC36" s="251"/>
      <c r="AD36" s="251"/>
      <c r="AE36" s="284"/>
      <c r="AF36" s="251"/>
      <c r="AG36" s="251"/>
      <c r="AH36" s="251"/>
      <c r="AI36" s="284"/>
      <c r="AJ36" s="251"/>
      <c r="AK36" s="251"/>
      <c r="AL36" s="251"/>
      <c r="AM36" s="284"/>
      <c r="AN36" s="251"/>
      <c r="AO36" s="251"/>
      <c r="AP36" s="251"/>
      <c r="AQ36" s="284"/>
      <c r="AR36" s="251"/>
      <c r="AS36" s="251"/>
      <c r="AT36" s="285"/>
      <c r="AU36" s="111"/>
      <c r="AV36" s="95"/>
      <c r="AW36" s="95"/>
      <c r="AX36" s="110"/>
      <c r="AY36" s="109"/>
      <c r="AZ36" s="95"/>
      <c r="BA36" s="95"/>
      <c r="BB36" s="110"/>
      <c r="BC36" s="109"/>
      <c r="BD36" s="95"/>
      <c r="BE36" s="95"/>
      <c r="BF36" s="110"/>
      <c r="BG36" s="109"/>
      <c r="BH36" s="95"/>
      <c r="BI36" s="95"/>
      <c r="BJ36" s="110"/>
      <c r="BK36" s="109"/>
      <c r="BL36" s="95"/>
      <c r="BM36" s="95"/>
      <c r="BN36" s="110"/>
      <c r="BO36" s="109"/>
      <c r="BP36" s="95"/>
      <c r="BQ36" s="95"/>
      <c r="BR36" s="110"/>
      <c r="BT36" s="232"/>
      <c r="BU36" s="232"/>
    </row>
    <row r="37" spans="1:74" s="229" customFormat="1" ht="10.95" customHeight="1" x14ac:dyDescent="0.2">
      <c r="A37" s="262"/>
      <c r="B37" s="231"/>
      <c r="C37" s="240"/>
      <c r="D37" s="240"/>
      <c r="E37" s="240"/>
      <c r="F37" s="240"/>
      <c r="G37" s="286"/>
      <c r="H37" s="272"/>
      <c r="I37" s="273"/>
      <c r="J37" s="274"/>
      <c r="K37" s="286"/>
      <c r="L37" s="232"/>
      <c r="M37" s="273"/>
      <c r="N37" s="274"/>
      <c r="O37" s="286"/>
      <c r="P37" s="232"/>
      <c r="Q37" s="273"/>
      <c r="R37" s="274"/>
      <c r="S37" s="286"/>
      <c r="T37" s="232"/>
      <c r="U37" s="273"/>
      <c r="V37" s="274"/>
      <c r="W37" s="286"/>
      <c r="X37" s="232"/>
      <c r="Y37" s="273"/>
      <c r="Z37" s="274"/>
      <c r="AA37" s="286"/>
      <c r="AB37" s="232"/>
      <c r="AC37" s="273"/>
      <c r="AD37" s="274"/>
      <c r="AE37" s="286"/>
      <c r="AF37" s="232"/>
      <c r="AG37" s="273"/>
      <c r="AH37" s="274"/>
      <c r="AI37" s="286"/>
      <c r="AJ37" s="232"/>
      <c r="AK37" s="273"/>
      <c r="AL37" s="274"/>
      <c r="AM37" s="286"/>
      <c r="AN37" s="232"/>
      <c r="AO37" s="273"/>
      <c r="AP37" s="274"/>
      <c r="AQ37" s="286"/>
      <c r="AR37" s="232"/>
      <c r="AS37" s="273"/>
      <c r="AT37" s="287"/>
      <c r="AU37" s="120"/>
      <c r="AV37" s="117"/>
      <c r="AW37" s="118"/>
      <c r="AX37" s="119"/>
      <c r="AY37" s="116"/>
      <c r="AZ37" s="117"/>
      <c r="BA37" s="118"/>
      <c r="BB37" s="119"/>
      <c r="BC37" s="116"/>
      <c r="BD37" s="117"/>
      <c r="BE37" s="118"/>
      <c r="BF37" s="119"/>
      <c r="BG37" s="116"/>
      <c r="BH37" s="117"/>
      <c r="BI37" s="118"/>
      <c r="BJ37" s="119"/>
      <c r="BK37" s="116"/>
      <c r="BL37" s="117"/>
      <c r="BM37" s="118"/>
      <c r="BN37" s="119"/>
      <c r="BO37" s="116"/>
      <c r="BP37" s="117"/>
      <c r="BQ37" s="118"/>
      <c r="BR37" s="119"/>
      <c r="BT37" s="232"/>
      <c r="BU37" s="232"/>
    </row>
    <row r="38" spans="1:74" s="229" customFormat="1" ht="10.95" customHeight="1" x14ac:dyDescent="0.2">
      <c r="A38" s="262"/>
      <c r="B38" s="231" t="s">
        <v>388</v>
      </c>
      <c r="C38" s="240"/>
      <c r="D38" s="240"/>
      <c r="E38" s="240"/>
      <c r="F38" s="240"/>
      <c r="G38" s="288">
        <f>SUM(G34:G35)</f>
        <v>0</v>
      </c>
      <c r="H38" s="276" t="e">
        <f>+G38/$C36</f>
        <v>#DIV/0!</v>
      </c>
      <c r="I38" s="232"/>
      <c r="J38" s="232"/>
      <c r="K38" s="288">
        <f>TRUNC(SUM(K34:K35),2)</f>
        <v>0</v>
      </c>
      <c r="L38" s="277" t="e">
        <f>+K38/$C36</f>
        <v>#DIV/0!</v>
      </c>
      <c r="M38" s="232"/>
      <c r="N38" s="232"/>
      <c r="O38" s="288">
        <f>TRUNC(SUM(O34:O35),2)</f>
        <v>0</v>
      </c>
      <c r="P38" s="277" t="e">
        <f>+O38/$C36</f>
        <v>#DIV/0!</v>
      </c>
      <c r="Q38" s="232"/>
      <c r="R38" s="232"/>
      <c r="S38" s="288">
        <f>TRUNC(SUM(S34:S34),2)</f>
        <v>0</v>
      </c>
      <c r="T38" s="277" t="e">
        <f>+S38/$C36</f>
        <v>#DIV/0!</v>
      </c>
      <c r="U38" s="232"/>
      <c r="V38" s="232"/>
      <c r="W38" s="288">
        <f>TRUNC(SUM(W34:W34),2)</f>
        <v>0</v>
      </c>
      <c r="X38" s="277" t="e">
        <f>+W38/$C36</f>
        <v>#DIV/0!</v>
      </c>
      <c r="Y38" s="232"/>
      <c r="Z38" s="232"/>
      <c r="AA38" s="288">
        <f>SUM(AA34:AA34)</f>
        <v>0</v>
      </c>
      <c r="AB38" s="277" t="e">
        <f>+AA38/$C36</f>
        <v>#DIV/0!</v>
      </c>
      <c r="AC38" s="232"/>
      <c r="AD38" s="232"/>
      <c r="AE38" s="288">
        <f>SUM(AE34:AE34)</f>
        <v>0</v>
      </c>
      <c r="AF38" s="277" t="e">
        <f>+AE38/$C36</f>
        <v>#DIV/0!</v>
      </c>
      <c r="AG38" s="232"/>
      <c r="AH38" s="232"/>
      <c r="AI38" s="288">
        <f>SUM(AI34:AI34)</f>
        <v>0</v>
      </c>
      <c r="AJ38" s="277" t="e">
        <f>+AI38/$C36</f>
        <v>#DIV/0!</v>
      </c>
      <c r="AK38" s="232"/>
      <c r="AL38" s="232"/>
      <c r="AM38" s="288">
        <f>SUM(AM34:AM34)</f>
        <v>0</v>
      </c>
      <c r="AN38" s="277" t="e">
        <f>+AM38/$C36</f>
        <v>#DIV/0!</v>
      </c>
      <c r="AO38" s="232"/>
      <c r="AP38" s="232"/>
      <c r="AQ38" s="288">
        <f>SUM(AQ34:AQ34)</f>
        <v>0</v>
      </c>
      <c r="AR38" s="277" t="e">
        <f>+AQ38/$C36</f>
        <v>#DIV/0!</v>
      </c>
      <c r="AS38" s="232"/>
      <c r="AT38" s="289"/>
      <c r="AU38" s="125">
        <f>SUM(AU34:AU34)</f>
        <v>0</v>
      </c>
      <c r="AV38" s="123" t="e">
        <f>+AU38/$C36</f>
        <v>#DIV/0!</v>
      </c>
      <c r="AW38" s="117"/>
      <c r="AX38" s="124"/>
      <c r="AY38" s="122">
        <f>SUM(AY34:AY34)</f>
        <v>0</v>
      </c>
      <c r="AZ38" s="123" t="e">
        <f>+AY38/$C36</f>
        <v>#DIV/0!</v>
      </c>
      <c r="BA38" s="117"/>
      <c r="BB38" s="124"/>
      <c r="BC38" s="122">
        <f>SUM(BC34:BC34)</f>
        <v>0</v>
      </c>
      <c r="BD38" s="123" t="e">
        <f>+BC38/$C36</f>
        <v>#DIV/0!</v>
      </c>
      <c r="BE38" s="117"/>
      <c r="BF38" s="124"/>
      <c r="BG38" s="122">
        <f>SUM(BG34:BG34)</f>
        <v>0</v>
      </c>
      <c r="BH38" s="123" t="e">
        <f>+BG38/$C36</f>
        <v>#DIV/0!</v>
      </c>
      <c r="BI38" s="117"/>
      <c r="BJ38" s="124"/>
      <c r="BK38" s="122">
        <f>SUM(BK34:BK34)</f>
        <v>0</v>
      </c>
      <c r="BL38" s="123" t="e">
        <f>+BK38/$C36</f>
        <v>#DIV/0!</v>
      </c>
      <c r="BM38" s="117"/>
      <c r="BN38" s="124"/>
      <c r="BO38" s="122">
        <f>SUM(BO34:BO34)</f>
        <v>0</v>
      </c>
      <c r="BP38" s="123" t="e">
        <f>+BO38/$C36</f>
        <v>#DIV/0!</v>
      </c>
      <c r="BQ38" s="117"/>
      <c r="BR38" s="124"/>
      <c r="BT38" s="232"/>
      <c r="BU38" s="232"/>
    </row>
    <row r="39" spans="1:74" s="235" customFormat="1" ht="10.95" customHeight="1" thickBot="1" x14ac:dyDescent="0.25">
      <c r="A39" s="262"/>
      <c r="B39" s="231" t="s">
        <v>389</v>
      </c>
      <c r="C39" s="240"/>
      <c r="D39" s="240"/>
      <c r="E39" s="240"/>
      <c r="F39" s="240"/>
      <c r="G39" s="286"/>
      <c r="H39" s="272"/>
      <c r="I39" s="275">
        <f>SUM(I34:I36)</f>
        <v>0</v>
      </c>
      <c r="J39" s="277" t="e">
        <f>+I39/$D36</f>
        <v>#DIV/0!</v>
      </c>
      <c r="K39" s="286"/>
      <c r="L39" s="232"/>
      <c r="M39" s="275">
        <f>SUM(M34:M34)</f>
        <v>0</v>
      </c>
      <c r="N39" s="277" t="e">
        <f>+M39/$D36</f>
        <v>#DIV/0!</v>
      </c>
      <c r="O39" s="286"/>
      <c r="P39" s="232"/>
      <c r="Q39" s="275">
        <f>SUM(Q34:Q36)</f>
        <v>0</v>
      </c>
      <c r="R39" s="277" t="e">
        <f>+Q39/$D36</f>
        <v>#DIV/0!</v>
      </c>
      <c r="S39" s="286"/>
      <c r="T39" s="232"/>
      <c r="U39" s="275">
        <f>SUM(U34:U36)</f>
        <v>0</v>
      </c>
      <c r="V39" s="277" t="e">
        <f>+U39/$D36</f>
        <v>#DIV/0!</v>
      </c>
      <c r="W39" s="286"/>
      <c r="X39" s="232"/>
      <c r="Y39" s="275">
        <f>SUM(Y34:Y36)</f>
        <v>0</v>
      </c>
      <c r="Z39" s="277" t="e">
        <f>+Y39/$D36</f>
        <v>#DIV/0!</v>
      </c>
      <c r="AA39" s="286"/>
      <c r="AB39" s="232"/>
      <c r="AC39" s="275">
        <f>SUM(AC34:AC36)</f>
        <v>0</v>
      </c>
      <c r="AD39" s="277" t="e">
        <f>+AC39/$D36</f>
        <v>#DIV/0!</v>
      </c>
      <c r="AE39" s="286"/>
      <c r="AF39" s="232"/>
      <c r="AG39" s="275">
        <f>SUM(AG34:AG36)</f>
        <v>0</v>
      </c>
      <c r="AH39" s="277" t="e">
        <f>+AG39/$D36</f>
        <v>#DIV/0!</v>
      </c>
      <c r="AI39" s="286"/>
      <c r="AJ39" s="232"/>
      <c r="AK39" s="275">
        <f>SUM(AK34:AK36)</f>
        <v>0</v>
      </c>
      <c r="AL39" s="277" t="e">
        <f>+AK39/$D36</f>
        <v>#DIV/0!</v>
      </c>
      <c r="AM39" s="286"/>
      <c r="AN39" s="232"/>
      <c r="AO39" s="275">
        <f>SUM(AO34:AO36)</f>
        <v>0</v>
      </c>
      <c r="AP39" s="277" t="e">
        <f>+AO39/$D36</f>
        <v>#DIV/0!</v>
      </c>
      <c r="AQ39" s="286"/>
      <c r="AR39" s="232"/>
      <c r="AS39" s="275">
        <f>SUM(AS34:AS36)</f>
        <v>0</v>
      </c>
      <c r="AT39" s="290" t="e">
        <f>+AS39/$D36</f>
        <v>#DIV/0!</v>
      </c>
      <c r="AU39" s="150"/>
      <c r="AV39" s="148"/>
      <c r="AW39" s="233">
        <f>SUM(AW34:AW36)</f>
        <v>0</v>
      </c>
      <c r="AX39" s="234" t="e">
        <f>+AW39/$D36</f>
        <v>#DIV/0!</v>
      </c>
      <c r="AY39" s="147"/>
      <c r="AZ39" s="148"/>
      <c r="BA39" s="233">
        <f>SUM(BA34:BA36)</f>
        <v>0</v>
      </c>
      <c r="BB39" s="234" t="e">
        <f>+BA39/$D36</f>
        <v>#DIV/0!</v>
      </c>
      <c r="BC39" s="147"/>
      <c r="BD39" s="148"/>
      <c r="BE39" s="233">
        <f>SUM(BE34:BE36)</f>
        <v>0</v>
      </c>
      <c r="BF39" s="234" t="e">
        <f>+BE39/$D36</f>
        <v>#DIV/0!</v>
      </c>
      <c r="BG39" s="147"/>
      <c r="BH39" s="148"/>
      <c r="BI39" s="233">
        <f>SUM(BI34:BI36)</f>
        <v>0</v>
      </c>
      <c r="BJ39" s="234" t="e">
        <f>+BI39/$D36</f>
        <v>#DIV/0!</v>
      </c>
      <c r="BK39" s="147"/>
      <c r="BL39" s="148"/>
      <c r="BM39" s="233">
        <f>SUM(BM34:BM36)</f>
        <v>0</v>
      </c>
      <c r="BN39" s="234" t="e">
        <f>+BM39/$D36</f>
        <v>#DIV/0!</v>
      </c>
      <c r="BO39" s="147"/>
      <c r="BP39" s="148"/>
      <c r="BQ39" s="233">
        <f>SUM(BQ34:BQ36)</f>
        <v>0</v>
      </c>
      <c r="BR39" s="234" t="e">
        <f>+BQ39/$D36</f>
        <v>#DIV/0!</v>
      </c>
      <c r="BT39" s="236"/>
      <c r="BU39" s="236"/>
    </row>
    <row r="40" spans="1:74" s="312" customFormat="1" ht="10.95" customHeight="1" x14ac:dyDescent="0.2">
      <c r="A40" s="301"/>
      <c r="B40" s="302"/>
      <c r="C40" s="303"/>
      <c r="D40" s="303"/>
      <c r="E40" s="303"/>
      <c r="F40" s="303"/>
      <c r="G40" s="304"/>
      <c r="H40" s="305"/>
      <c r="I40" s="306"/>
      <c r="J40" s="274"/>
      <c r="K40" s="304"/>
      <c r="L40" s="307"/>
      <c r="M40" s="306"/>
      <c r="N40" s="274"/>
      <c r="O40" s="304"/>
      <c r="P40" s="307"/>
      <c r="Q40" s="306"/>
      <c r="R40" s="274"/>
      <c r="S40" s="304"/>
      <c r="T40" s="307"/>
      <c r="U40" s="306"/>
      <c r="V40" s="274"/>
      <c r="W40" s="304"/>
      <c r="X40" s="307"/>
      <c r="Y40" s="306"/>
      <c r="Z40" s="274"/>
      <c r="AA40" s="304"/>
      <c r="AB40" s="307"/>
      <c r="AC40" s="306"/>
      <c r="AD40" s="274"/>
      <c r="AE40" s="304"/>
      <c r="AF40" s="307"/>
      <c r="AG40" s="306"/>
      <c r="AH40" s="274"/>
      <c r="AI40" s="304"/>
      <c r="AJ40" s="307"/>
      <c r="AK40" s="306"/>
      <c r="AL40" s="274"/>
      <c r="AM40" s="304"/>
      <c r="AN40" s="307"/>
      <c r="AO40" s="306"/>
      <c r="AP40" s="274"/>
      <c r="AQ40" s="304"/>
      <c r="AR40" s="307"/>
      <c r="AS40" s="306"/>
      <c r="AT40" s="287"/>
      <c r="AU40" s="308"/>
      <c r="AV40" s="309"/>
      <c r="AW40" s="310"/>
      <c r="AX40" s="137"/>
      <c r="AY40" s="311"/>
      <c r="AZ40" s="309"/>
      <c r="BA40" s="310"/>
      <c r="BB40" s="137"/>
      <c r="BC40" s="311"/>
      <c r="BD40" s="309"/>
      <c r="BE40" s="310"/>
      <c r="BF40" s="137"/>
      <c r="BG40" s="311"/>
      <c r="BH40" s="309"/>
      <c r="BI40" s="310"/>
      <c r="BJ40" s="137"/>
      <c r="BK40" s="311"/>
      <c r="BL40" s="309"/>
      <c r="BM40" s="310"/>
      <c r="BN40" s="137"/>
      <c r="BO40" s="311"/>
      <c r="BP40" s="309"/>
      <c r="BQ40" s="310"/>
      <c r="BR40" s="137"/>
      <c r="BT40" s="307"/>
      <c r="BU40" s="307"/>
    </row>
    <row r="41" spans="1:74" s="102" customFormat="1" ht="10.95" customHeight="1" x14ac:dyDescent="0.2">
      <c r="A41" s="113"/>
      <c r="B41" s="46" t="s">
        <v>393</v>
      </c>
      <c r="C41" s="107">
        <f>TRUNC(+C36+C36*'Orçamento Desonerado'!$F$683/100,2)</f>
        <v>0</v>
      </c>
      <c r="D41" s="115"/>
      <c r="E41" s="115"/>
      <c r="F41" s="115"/>
      <c r="G41" s="122">
        <f>TRUNC(+G38+G38*'Orçamento Desonerado'!$F$683/100,2)</f>
        <v>0</v>
      </c>
      <c r="H41" s="186"/>
      <c r="I41" s="117"/>
      <c r="J41" s="124"/>
      <c r="K41" s="122">
        <f>TRUNC(+K38+K38*'Orçamento Desonerado'!$F$683/100,2)</f>
        <v>0</v>
      </c>
      <c r="L41" s="186"/>
      <c r="M41" s="117"/>
      <c r="N41" s="124"/>
      <c r="O41" s="122">
        <f>TRUNC(+O38+O38*'Orçamento Desonerado'!$F$683/100,2)</f>
        <v>0</v>
      </c>
      <c r="P41" s="186"/>
      <c r="Q41" s="117"/>
      <c r="R41" s="124"/>
      <c r="S41" s="122">
        <f>TRUNC(+S38+S38*'Orçamento Desonerado'!$F$683/100,2)</f>
        <v>0</v>
      </c>
      <c r="T41" s="186"/>
      <c r="U41" s="117"/>
      <c r="V41" s="124"/>
      <c r="W41" s="122">
        <f>TRUNC(+W38+W38*'Orçamento Desonerado'!$F$683/100,2)</f>
        <v>0</v>
      </c>
      <c r="X41" s="186"/>
      <c r="Y41" s="117"/>
      <c r="Z41" s="124"/>
      <c r="AA41" s="122">
        <f>TRUNC(+AA38+AA38*'Orçamento Desonerado'!$F$683/100,2)</f>
        <v>0</v>
      </c>
      <c r="AB41" s="186"/>
      <c r="AC41" s="117"/>
      <c r="AD41" s="124"/>
      <c r="AE41" s="122">
        <f>TRUNC(+AE38+AE38*'Orçamento Desonerado'!$F$683/100,2)</f>
        <v>0</v>
      </c>
      <c r="AF41" s="186"/>
      <c r="AG41" s="117"/>
      <c r="AH41" s="124"/>
      <c r="AI41" s="122">
        <f>TRUNC(+AI38+AI38*'Orçamento Desonerado'!$F$683/100,2)</f>
        <v>0</v>
      </c>
      <c r="AJ41" s="186"/>
      <c r="AK41" s="117"/>
      <c r="AL41" s="124"/>
      <c r="AM41" s="122">
        <f>TRUNC(+AM38+AM38*'Orçamento Desonerado'!$F$683/100,2)</f>
        <v>0</v>
      </c>
      <c r="AN41" s="186"/>
      <c r="AO41" s="117"/>
      <c r="AP41" s="124"/>
      <c r="AQ41" s="122">
        <f>TRUNC(+AQ38+AQ38*'Orçamento Desonerado'!$F$683/100,2)</f>
        <v>0</v>
      </c>
      <c r="AR41" s="186"/>
      <c r="AS41" s="117"/>
      <c r="AT41" s="124"/>
      <c r="AU41" s="122">
        <v>0</v>
      </c>
      <c r="AV41" s="123"/>
      <c r="AW41" s="117"/>
      <c r="AX41" s="124"/>
      <c r="AY41" s="122">
        <v>0</v>
      </c>
      <c r="AZ41" s="123"/>
      <c r="BA41" s="117"/>
      <c r="BB41" s="124"/>
      <c r="BC41" s="122">
        <v>0</v>
      </c>
      <c r="BD41" s="123"/>
      <c r="BE41" s="117"/>
      <c r="BF41" s="124"/>
      <c r="BG41" s="122">
        <v>0</v>
      </c>
      <c r="BH41" s="123"/>
      <c r="BI41" s="117"/>
      <c r="BJ41" s="124"/>
      <c r="BK41" s="122">
        <v>0</v>
      </c>
      <c r="BL41" s="123"/>
      <c r="BM41" s="117"/>
      <c r="BN41" s="124"/>
      <c r="BO41" s="122">
        <v>0</v>
      </c>
      <c r="BP41" s="123"/>
      <c r="BQ41" s="117"/>
      <c r="BR41" s="124"/>
      <c r="BT41" s="36"/>
      <c r="BU41" s="36"/>
    </row>
    <row r="42" spans="1:74" s="102" customFormat="1" ht="10.95" customHeight="1" x14ac:dyDescent="0.2">
      <c r="A42" s="113"/>
      <c r="B42" s="46" t="s">
        <v>394</v>
      </c>
      <c r="C42" s="114"/>
      <c r="D42" s="107">
        <f>TRUNC(+D36+D36*'Orçamento Desonerado'!$F$683/100,2)</f>
        <v>0</v>
      </c>
      <c r="E42" s="107">
        <f>SUM(C41,D42)</f>
        <v>0</v>
      </c>
      <c r="F42" s="115"/>
      <c r="G42" s="116"/>
      <c r="H42" s="187"/>
      <c r="I42" s="107">
        <f>TRUNC(+I39+I39*'Orçamento Desonerado'!$F$683/100)</f>
        <v>0</v>
      </c>
      <c r="J42" s="128"/>
      <c r="K42" s="116"/>
      <c r="L42" s="187"/>
      <c r="M42" s="107">
        <f>TRUNC(+M39+M39*'Orçamento Desonerado'!$F$683/100)</f>
        <v>0</v>
      </c>
      <c r="N42" s="128"/>
      <c r="O42" s="116"/>
      <c r="P42" s="187"/>
      <c r="Q42" s="107">
        <f>TRUNC(+Q39+Q39*'Orçamento Desonerado'!$F$683/100)</f>
        <v>0</v>
      </c>
      <c r="R42" s="128"/>
      <c r="S42" s="116"/>
      <c r="T42" s="187"/>
      <c r="U42" s="107">
        <f>TRUNC(+U39+U39*'Orçamento Desonerado'!$F$683/100)</f>
        <v>0</v>
      </c>
      <c r="V42" s="128"/>
      <c r="W42" s="116"/>
      <c r="X42" s="187"/>
      <c r="Y42" s="107">
        <f>TRUNC(+Y39+Y39*'Orçamento Desonerado'!$F$683/100)</f>
        <v>0</v>
      </c>
      <c r="Z42" s="128"/>
      <c r="AA42" s="116"/>
      <c r="AB42" s="187"/>
      <c r="AC42" s="107">
        <f>TRUNC(+AC39+AC39*'Orçamento Desonerado'!$F$683/100)</f>
        <v>0</v>
      </c>
      <c r="AD42" s="128"/>
      <c r="AE42" s="116"/>
      <c r="AF42" s="187"/>
      <c r="AG42" s="107">
        <f>TRUNC(+AG39+AG39*'Orçamento Desonerado'!$F$683/100)</f>
        <v>0</v>
      </c>
      <c r="AH42" s="128"/>
      <c r="AI42" s="116"/>
      <c r="AJ42" s="187"/>
      <c r="AK42" s="107">
        <f>TRUNC(+AK39+AK39*'Orçamento Desonerado'!$F$683/100)</f>
        <v>0</v>
      </c>
      <c r="AL42" s="128"/>
      <c r="AM42" s="116"/>
      <c r="AN42" s="187"/>
      <c r="AO42" s="107">
        <f>TRUNC(+AO39+AO39*'Orçamento Desonerado'!$F$683/100)</f>
        <v>0</v>
      </c>
      <c r="AP42" s="128"/>
      <c r="AQ42" s="116"/>
      <c r="AR42" s="187"/>
      <c r="AS42" s="107">
        <f>TRUNC(+AS39+AS39*'Orçamento Desonerado'!$F$683/100)</f>
        <v>0</v>
      </c>
      <c r="AT42" s="128"/>
      <c r="AU42" s="116"/>
      <c r="AV42" s="126"/>
      <c r="AW42" s="127">
        <v>0</v>
      </c>
      <c r="AX42" s="128"/>
      <c r="AY42" s="116"/>
      <c r="AZ42" s="126"/>
      <c r="BA42" s="127">
        <v>0</v>
      </c>
      <c r="BB42" s="128"/>
      <c r="BC42" s="116"/>
      <c r="BD42" s="126"/>
      <c r="BE42" s="127">
        <v>0</v>
      </c>
      <c r="BF42" s="128"/>
      <c r="BG42" s="116"/>
      <c r="BH42" s="126"/>
      <c r="BI42" s="127">
        <v>0</v>
      </c>
      <c r="BJ42" s="128"/>
      <c r="BK42" s="116"/>
      <c r="BL42" s="126"/>
      <c r="BM42" s="127">
        <v>0</v>
      </c>
      <c r="BN42" s="128"/>
      <c r="BO42" s="116"/>
      <c r="BP42" s="126"/>
      <c r="BQ42" s="127">
        <v>0</v>
      </c>
      <c r="BR42" s="128"/>
      <c r="BT42" s="36"/>
      <c r="BU42" s="36"/>
    </row>
    <row r="43" spans="1:74" s="102" customFormat="1" ht="10.199999999999999" thickBot="1" x14ac:dyDescent="0.25">
      <c r="A43" s="263"/>
      <c r="B43" s="264"/>
      <c r="C43" s="245"/>
      <c r="D43" s="245"/>
      <c r="E43" s="245"/>
      <c r="F43" s="245"/>
      <c r="G43" s="291"/>
      <c r="H43" s="292"/>
      <c r="I43" s="293"/>
      <c r="J43" s="296"/>
      <c r="K43" s="291"/>
      <c r="L43" s="236"/>
      <c r="M43" s="293"/>
      <c r="N43" s="296"/>
      <c r="O43" s="291"/>
      <c r="P43" s="236"/>
      <c r="Q43" s="293"/>
      <c r="R43" s="296"/>
      <c r="S43" s="291"/>
      <c r="T43" s="236"/>
      <c r="U43" s="293"/>
      <c r="V43" s="296"/>
      <c r="W43" s="291"/>
      <c r="X43" s="236"/>
      <c r="Y43" s="293"/>
      <c r="Z43" s="296"/>
      <c r="AA43" s="291"/>
      <c r="AB43" s="236"/>
      <c r="AC43" s="293"/>
      <c r="AD43" s="296"/>
      <c r="AE43" s="291"/>
      <c r="AF43" s="236"/>
      <c r="AG43" s="293"/>
      <c r="AH43" s="296"/>
      <c r="AI43" s="291"/>
      <c r="AJ43" s="236"/>
      <c r="AK43" s="293"/>
      <c r="AL43" s="296"/>
      <c r="AM43" s="291"/>
      <c r="AN43" s="236"/>
      <c r="AO43" s="293"/>
      <c r="AP43" s="296"/>
      <c r="AQ43" s="291"/>
      <c r="AR43" s="236"/>
      <c r="AS43" s="293"/>
      <c r="AT43" s="294"/>
      <c r="AU43" s="138"/>
      <c r="AV43" s="135"/>
      <c r="AW43" s="136"/>
      <c r="AX43" s="137"/>
      <c r="AY43" s="134"/>
      <c r="AZ43" s="135"/>
      <c r="BA43" s="136"/>
      <c r="BB43" s="137"/>
      <c r="BC43" s="134"/>
      <c r="BD43" s="135"/>
      <c r="BE43" s="136"/>
      <c r="BF43" s="137"/>
      <c r="BG43" s="134"/>
      <c r="BH43" s="135"/>
      <c r="BI43" s="136"/>
      <c r="BJ43" s="137"/>
      <c r="BK43" s="134"/>
      <c r="BL43" s="135"/>
      <c r="BM43" s="136"/>
      <c r="BN43" s="137"/>
      <c r="BO43" s="134"/>
      <c r="BP43" s="135"/>
      <c r="BQ43" s="136"/>
      <c r="BR43" s="137"/>
      <c r="BT43" s="36"/>
      <c r="BU43" s="36"/>
    </row>
    <row r="44" spans="1:74" s="225" customFormat="1" ht="10.199999999999999" hidden="1" thickBot="1" x14ac:dyDescent="0.25">
      <c r="A44" s="313"/>
      <c r="B44" s="314" t="s">
        <v>574</v>
      </c>
      <c r="C44" s="315"/>
      <c r="D44" s="315"/>
      <c r="E44" s="316"/>
      <c r="F44" s="316"/>
      <c r="G44" s="317"/>
      <c r="H44" s="318"/>
      <c r="I44" s="315"/>
      <c r="J44" s="319"/>
      <c r="K44" s="322"/>
      <c r="L44" s="318"/>
      <c r="M44" s="315"/>
      <c r="N44" s="316"/>
      <c r="O44" s="317"/>
      <c r="P44" s="318"/>
      <c r="Q44" s="315"/>
      <c r="R44" s="319"/>
      <c r="S44" s="322"/>
      <c r="T44" s="318"/>
      <c r="U44" s="315"/>
      <c r="V44" s="316"/>
      <c r="W44" s="317"/>
      <c r="X44" s="318"/>
      <c r="Y44" s="315"/>
      <c r="Z44" s="319"/>
      <c r="AA44" s="322"/>
      <c r="AB44" s="318"/>
      <c r="AC44" s="315"/>
      <c r="AD44" s="319"/>
      <c r="AE44" s="317"/>
      <c r="AF44" s="318"/>
      <c r="AG44" s="315"/>
      <c r="AH44" s="319"/>
      <c r="AI44" s="317"/>
      <c r="AJ44" s="318"/>
      <c r="AK44" s="315"/>
      <c r="AL44" s="319"/>
      <c r="AM44" s="317"/>
      <c r="AN44" s="318"/>
      <c r="AO44" s="315"/>
      <c r="AP44" s="319"/>
      <c r="AQ44" s="317"/>
      <c r="AR44" s="318"/>
      <c r="AS44" s="315"/>
      <c r="AT44" s="319"/>
      <c r="AU44" s="72"/>
      <c r="AV44" s="73"/>
      <c r="AW44" s="69"/>
      <c r="AX44" s="71"/>
      <c r="AY44" s="72"/>
      <c r="AZ44" s="73"/>
      <c r="BA44" s="69"/>
      <c r="BB44" s="71"/>
      <c r="BC44" s="72"/>
      <c r="BD44" s="73"/>
      <c r="BE44" s="69"/>
      <c r="BF44" s="71"/>
      <c r="BG44" s="72"/>
      <c r="BH44" s="73"/>
      <c r="BI44" s="69"/>
      <c r="BJ44" s="71"/>
      <c r="BK44" s="72"/>
      <c r="BL44" s="73"/>
      <c r="BM44" s="69"/>
      <c r="BN44" s="71"/>
      <c r="BO44" s="72"/>
      <c r="BP44" s="73"/>
      <c r="BQ44" s="69"/>
      <c r="BR44" s="71"/>
      <c r="BT44" s="226"/>
      <c r="BU44" s="226"/>
    </row>
    <row r="45" spans="1:74" s="227" customFormat="1" ht="9.6" hidden="1" x14ac:dyDescent="0.2">
      <c r="A45" s="256">
        <v>20</v>
      </c>
      <c r="B45" s="257" t="str">
        <f>VLOOKUP(A45,'Orçamento Desonerado'!$A$10:$L$734,4,FALSE)</f>
        <v>ESTRUTURA METÁLICA</v>
      </c>
      <c r="C45" s="258">
        <f>'Orçamento Desonerado'!J694</f>
        <v>0</v>
      </c>
      <c r="D45" s="258">
        <f>'Orçamento Desonerado'!K694</f>
        <v>0</v>
      </c>
      <c r="E45" s="259">
        <f>C45+D45</f>
        <v>0</v>
      </c>
      <c r="F45" s="259" t="e">
        <f>+E45/E$25*100</f>
        <v>#DIV/0!</v>
      </c>
      <c r="G45" s="278">
        <f>+H45*$C45</f>
        <v>0</v>
      </c>
      <c r="H45" s="279"/>
      <c r="I45" s="280">
        <f>+J45*$D45</f>
        <v>0</v>
      </c>
      <c r="J45" s="295">
        <v>0</v>
      </c>
      <c r="K45" s="278">
        <f>+L45*$C45</f>
        <v>0</v>
      </c>
      <c r="L45" s="299">
        <v>0.1</v>
      </c>
      <c r="M45" s="280">
        <f>+N45*$D45</f>
        <v>0</v>
      </c>
      <c r="N45" s="295">
        <v>0.1</v>
      </c>
      <c r="O45" s="278">
        <f>+P45*$C45</f>
        <v>0</v>
      </c>
      <c r="P45" s="299">
        <v>0.3</v>
      </c>
      <c r="Q45" s="280">
        <f>+R45*$D45</f>
        <v>0</v>
      </c>
      <c r="R45" s="295">
        <f>P45</f>
        <v>0.3</v>
      </c>
      <c r="S45" s="278">
        <f>+T45*$C45</f>
        <v>0</v>
      </c>
      <c r="T45" s="299">
        <v>0.3</v>
      </c>
      <c r="U45" s="280">
        <f>+V45*$D45</f>
        <v>0</v>
      </c>
      <c r="V45" s="295">
        <f>T45</f>
        <v>0.3</v>
      </c>
      <c r="W45" s="278">
        <f>+X45*$C45</f>
        <v>0</v>
      </c>
      <c r="X45" s="299">
        <v>0.2</v>
      </c>
      <c r="Y45" s="280">
        <f>+Z45*$D45</f>
        <v>0</v>
      </c>
      <c r="Z45" s="295">
        <f>X45</f>
        <v>0.2</v>
      </c>
      <c r="AA45" s="278">
        <f>+AB45*$C45</f>
        <v>0</v>
      </c>
      <c r="AB45" s="299">
        <v>0.1</v>
      </c>
      <c r="AC45" s="280">
        <f>+AD45*$D45</f>
        <v>0</v>
      </c>
      <c r="AD45" s="295">
        <f>AB45</f>
        <v>0.1</v>
      </c>
      <c r="AE45" s="278">
        <f>+AF45*$C45</f>
        <v>0</v>
      </c>
      <c r="AF45" s="299"/>
      <c r="AG45" s="280">
        <f>+AH45*$D45</f>
        <v>0</v>
      </c>
      <c r="AH45" s="295">
        <v>0</v>
      </c>
      <c r="AI45" s="278">
        <f>+AJ45*$C45</f>
        <v>0</v>
      </c>
      <c r="AJ45" s="299"/>
      <c r="AK45" s="280">
        <f>+AL45*$D45</f>
        <v>0</v>
      </c>
      <c r="AL45" s="295">
        <v>0</v>
      </c>
      <c r="AM45" s="278">
        <f>+AN45*$C45</f>
        <v>0</v>
      </c>
      <c r="AN45" s="295"/>
      <c r="AO45" s="280">
        <f>+AP45*$D45</f>
        <v>0</v>
      </c>
      <c r="AP45" s="295">
        <v>0</v>
      </c>
      <c r="AQ45" s="278">
        <f>+AR45*$C45</f>
        <v>0</v>
      </c>
      <c r="AR45" s="295"/>
      <c r="AS45" s="280">
        <f>+AT45*$D45</f>
        <v>0</v>
      </c>
      <c r="AT45" s="281">
        <v>0</v>
      </c>
      <c r="AU45" s="92">
        <f>+AV45*$C45</f>
        <v>0</v>
      </c>
      <c r="AV45" s="103">
        <v>0</v>
      </c>
      <c r="AW45" s="90">
        <f>+AX45*$D45</f>
        <v>0</v>
      </c>
      <c r="AX45" s="91">
        <v>0</v>
      </c>
      <c r="AY45" s="88">
        <f>+AZ45*$C45</f>
        <v>0</v>
      </c>
      <c r="AZ45" s="103">
        <v>0</v>
      </c>
      <c r="BA45" s="90">
        <f>+BB45*$D45</f>
        <v>0</v>
      </c>
      <c r="BB45" s="91">
        <v>0</v>
      </c>
      <c r="BC45" s="88">
        <f>+BD45*$C45</f>
        <v>0</v>
      </c>
      <c r="BD45" s="103">
        <v>0</v>
      </c>
      <c r="BE45" s="90">
        <f>+BF45*$D45</f>
        <v>0</v>
      </c>
      <c r="BF45" s="91">
        <v>0</v>
      </c>
      <c r="BG45" s="88">
        <f>+BH45*$C45</f>
        <v>0</v>
      </c>
      <c r="BH45" s="103">
        <v>0</v>
      </c>
      <c r="BI45" s="90">
        <f>+BJ45*$D45</f>
        <v>0</v>
      </c>
      <c r="BJ45" s="91">
        <v>0</v>
      </c>
      <c r="BK45" s="88">
        <f>+BL45*$C45</f>
        <v>0</v>
      </c>
      <c r="BL45" s="103">
        <v>0</v>
      </c>
      <c r="BM45" s="90">
        <f>+BN45*$D45</f>
        <v>0</v>
      </c>
      <c r="BN45" s="91">
        <v>0</v>
      </c>
      <c r="BO45" s="88">
        <f>+BP45*$C45</f>
        <v>0</v>
      </c>
      <c r="BP45" s="103">
        <v>0</v>
      </c>
      <c r="BQ45" s="90">
        <f>+BR45*$D45</f>
        <v>0</v>
      </c>
      <c r="BR45" s="91">
        <v>0</v>
      </c>
      <c r="BT45" s="228">
        <f>+BP45+BL45+BH45+BD45+AZ45+AV45+AR45+AN45+AJ45+AF45+AB45+X45+T45+P45+L45+H45</f>
        <v>1.0000000000000002</v>
      </c>
      <c r="BU45" s="228">
        <f>+BR45+BN45+BJ45+BF45+BB45+AX45+AT45+AP45+AL45+AH45+AD45+Z45+V45+R45+N45+J45</f>
        <v>1.0000000000000002</v>
      </c>
      <c r="BV45" s="227">
        <v>18</v>
      </c>
    </row>
    <row r="46" spans="1:74" s="229" customFormat="1" ht="9.6" hidden="1" x14ac:dyDescent="0.2">
      <c r="A46" s="260"/>
      <c r="B46" s="250"/>
      <c r="C46" s="251"/>
      <c r="D46" s="251"/>
      <c r="E46" s="252"/>
      <c r="F46" s="252"/>
      <c r="G46" s="282"/>
      <c r="H46" s="269"/>
      <c r="I46" s="268"/>
      <c r="J46" s="270"/>
      <c r="K46" s="282"/>
      <c r="L46" s="298"/>
      <c r="M46" s="268"/>
      <c r="N46" s="270"/>
      <c r="O46" s="282"/>
      <c r="P46" s="298"/>
      <c r="Q46" s="268"/>
      <c r="R46" s="270"/>
      <c r="S46" s="282"/>
      <c r="T46" s="298"/>
      <c r="U46" s="268"/>
      <c r="V46" s="270"/>
      <c r="W46" s="282"/>
      <c r="X46" s="298"/>
      <c r="Y46" s="268"/>
      <c r="Z46" s="270"/>
      <c r="AA46" s="282"/>
      <c r="AB46" s="298"/>
      <c r="AC46" s="268"/>
      <c r="AD46" s="270"/>
      <c r="AE46" s="282"/>
      <c r="AF46" s="298"/>
      <c r="AG46" s="268"/>
      <c r="AH46" s="270"/>
      <c r="AI46" s="282"/>
      <c r="AJ46" s="298"/>
      <c r="AK46" s="268"/>
      <c r="AL46" s="270"/>
      <c r="AM46" s="282"/>
      <c r="AN46" s="298"/>
      <c r="AO46" s="268"/>
      <c r="AP46" s="270"/>
      <c r="AQ46" s="282"/>
      <c r="AR46" s="298"/>
      <c r="AS46" s="268"/>
      <c r="AT46" s="283"/>
      <c r="AU46" s="101"/>
      <c r="AV46" s="98"/>
      <c r="AW46" s="99"/>
      <c r="AX46" s="100"/>
      <c r="AY46" s="97"/>
      <c r="AZ46" s="98"/>
      <c r="BA46" s="99"/>
      <c r="BB46" s="100"/>
      <c r="BC46" s="97"/>
      <c r="BD46" s="98"/>
      <c r="BE46" s="99"/>
      <c r="BF46" s="100"/>
      <c r="BG46" s="97"/>
      <c r="BH46" s="98"/>
      <c r="BI46" s="99"/>
      <c r="BJ46" s="100"/>
      <c r="BK46" s="97"/>
      <c r="BL46" s="98"/>
      <c r="BM46" s="99"/>
      <c r="BN46" s="100"/>
      <c r="BO46" s="97"/>
      <c r="BP46" s="98"/>
      <c r="BQ46" s="99"/>
      <c r="BR46" s="100"/>
      <c r="BT46" s="230"/>
      <c r="BU46" s="230"/>
    </row>
    <row r="47" spans="1:74" s="231" customFormat="1" ht="9.6" hidden="1" x14ac:dyDescent="0.2">
      <c r="A47" s="261"/>
      <c r="B47" s="253" t="s">
        <v>575</v>
      </c>
      <c r="C47" s="254">
        <f>SUM(C45:C45)</f>
        <v>0</v>
      </c>
      <c r="D47" s="254">
        <f>SUM(D45:D46)</f>
        <v>0</v>
      </c>
      <c r="E47" s="254">
        <f>SUM(E45:E46)</f>
        <v>0</v>
      </c>
      <c r="F47" s="255" t="e">
        <f>SUM(F32:F46)</f>
        <v>#DIV/0!</v>
      </c>
      <c r="G47" s="284"/>
      <c r="H47" s="271"/>
      <c r="I47" s="251"/>
      <c r="J47" s="251"/>
      <c r="K47" s="284"/>
      <c r="L47" s="251"/>
      <c r="M47" s="251"/>
      <c r="N47" s="251"/>
      <c r="O47" s="284"/>
      <c r="P47" s="251"/>
      <c r="Q47" s="251"/>
      <c r="R47" s="251"/>
      <c r="S47" s="284"/>
      <c r="T47" s="251"/>
      <c r="U47" s="251"/>
      <c r="V47" s="251"/>
      <c r="W47" s="284"/>
      <c r="X47" s="251"/>
      <c r="Y47" s="251"/>
      <c r="Z47" s="251"/>
      <c r="AA47" s="284"/>
      <c r="AB47" s="251"/>
      <c r="AC47" s="251"/>
      <c r="AD47" s="251"/>
      <c r="AE47" s="284"/>
      <c r="AF47" s="251"/>
      <c r="AG47" s="251"/>
      <c r="AH47" s="251"/>
      <c r="AI47" s="284"/>
      <c r="AJ47" s="251"/>
      <c r="AK47" s="251"/>
      <c r="AL47" s="251"/>
      <c r="AM47" s="284"/>
      <c r="AN47" s="251"/>
      <c r="AO47" s="251"/>
      <c r="AP47" s="251"/>
      <c r="AQ47" s="284"/>
      <c r="AR47" s="251"/>
      <c r="AS47" s="251"/>
      <c r="AT47" s="285"/>
      <c r="AU47" s="111"/>
      <c r="AV47" s="95"/>
      <c r="AW47" s="95"/>
      <c r="AX47" s="110"/>
      <c r="AY47" s="109"/>
      <c r="AZ47" s="95"/>
      <c r="BA47" s="95"/>
      <c r="BB47" s="110"/>
      <c r="BC47" s="109"/>
      <c r="BD47" s="95"/>
      <c r="BE47" s="95"/>
      <c r="BF47" s="110"/>
      <c r="BG47" s="109"/>
      <c r="BH47" s="95"/>
      <c r="BI47" s="95"/>
      <c r="BJ47" s="110"/>
      <c r="BK47" s="109"/>
      <c r="BL47" s="95"/>
      <c r="BM47" s="95"/>
      <c r="BN47" s="110"/>
      <c r="BO47" s="109"/>
      <c r="BP47" s="95"/>
      <c r="BQ47" s="95"/>
      <c r="BR47" s="110"/>
      <c r="BT47" s="232"/>
      <c r="BU47" s="232"/>
    </row>
    <row r="48" spans="1:74" s="229" customFormat="1" ht="9.6" hidden="1" x14ac:dyDescent="0.2">
      <c r="A48" s="262"/>
      <c r="B48" s="231"/>
      <c r="C48" s="240"/>
      <c r="D48" s="240"/>
      <c r="E48" s="240"/>
      <c r="F48" s="240"/>
      <c r="G48" s="286"/>
      <c r="H48" s="272"/>
      <c r="I48" s="273"/>
      <c r="J48" s="274"/>
      <c r="K48" s="286"/>
      <c r="L48" s="232"/>
      <c r="M48" s="273"/>
      <c r="N48" s="274"/>
      <c r="O48" s="286"/>
      <c r="P48" s="232"/>
      <c r="Q48" s="273"/>
      <c r="R48" s="274"/>
      <c r="S48" s="286"/>
      <c r="T48" s="232"/>
      <c r="U48" s="273"/>
      <c r="V48" s="274"/>
      <c r="W48" s="286"/>
      <c r="X48" s="232"/>
      <c r="Y48" s="273"/>
      <c r="Z48" s="274"/>
      <c r="AA48" s="286"/>
      <c r="AB48" s="232"/>
      <c r="AC48" s="273"/>
      <c r="AD48" s="274"/>
      <c r="AE48" s="286"/>
      <c r="AF48" s="232"/>
      <c r="AG48" s="273"/>
      <c r="AH48" s="274"/>
      <c r="AI48" s="286"/>
      <c r="AJ48" s="232"/>
      <c r="AK48" s="273"/>
      <c r="AL48" s="274"/>
      <c r="AM48" s="286"/>
      <c r="AN48" s="232"/>
      <c r="AO48" s="273"/>
      <c r="AP48" s="274"/>
      <c r="AQ48" s="286"/>
      <c r="AR48" s="232"/>
      <c r="AS48" s="273"/>
      <c r="AT48" s="287"/>
      <c r="AU48" s="120"/>
      <c r="AV48" s="117"/>
      <c r="AW48" s="118"/>
      <c r="AX48" s="119"/>
      <c r="AY48" s="116"/>
      <c r="AZ48" s="117"/>
      <c r="BA48" s="118"/>
      <c r="BB48" s="119"/>
      <c r="BC48" s="116"/>
      <c r="BD48" s="117"/>
      <c r="BE48" s="118"/>
      <c r="BF48" s="119"/>
      <c r="BG48" s="116"/>
      <c r="BH48" s="117"/>
      <c r="BI48" s="118"/>
      <c r="BJ48" s="119"/>
      <c r="BK48" s="116"/>
      <c r="BL48" s="117"/>
      <c r="BM48" s="118"/>
      <c r="BN48" s="119"/>
      <c r="BO48" s="116"/>
      <c r="BP48" s="117"/>
      <c r="BQ48" s="118"/>
      <c r="BR48" s="119"/>
      <c r="BT48" s="232"/>
      <c r="BU48" s="232"/>
    </row>
    <row r="49" spans="1:73" s="229" customFormat="1" ht="9.6" hidden="1" x14ac:dyDescent="0.2">
      <c r="A49" s="262"/>
      <c r="B49" s="231" t="s">
        <v>388</v>
      </c>
      <c r="C49" s="240"/>
      <c r="D49" s="240"/>
      <c r="E49" s="240"/>
      <c r="F49" s="240"/>
      <c r="G49" s="288">
        <f>SUM(G45:G46)</f>
        <v>0</v>
      </c>
      <c r="H49" s="276" t="e">
        <f>+G49/$C47</f>
        <v>#DIV/0!</v>
      </c>
      <c r="I49" s="232"/>
      <c r="J49" s="232"/>
      <c r="K49" s="288">
        <f>TRUNC(SUM(K45:K46),2)</f>
        <v>0</v>
      </c>
      <c r="L49" s="277" t="e">
        <f>+K49/$C47</f>
        <v>#DIV/0!</v>
      </c>
      <c r="M49" s="232"/>
      <c r="N49" s="232"/>
      <c r="O49" s="288">
        <f>TRUNC(SUM(O45:O46),2)</f>
        <v>0</v>
      </c>
      <c r="P49" s="277" t="e">
        <f>+O49/$C47</f>
        <v>#DIV/0!</v>
      </c>
      <c r="Q49" s="232"/>
      <c r="R49" s="232"/>
      <c r="S49" s="288">
        <f>TRUNC(SUM(S45:S45),2)</f>
        <v>0</v>
      </c>
      <c r="T49" s="277" t="e">
        <f>+S49/$C47</f>
        <v>#DIV/0!</v>
      </c>
      <c r="U49" s="232"/>
      <c r="V49" s="232"/>
      <c r="W49" s="288">
        <f>TRUNC(SUM(W45:W45),2)</f>
        <v>0</v>
      </c>
      <c r="X49" s="277" t="e">
        <f>+W49/$C47</f>
        <v>#DIV/0!</v>
      </c>
      <c r="Y49" s="232"/>
      <c r="Z49" s="232"/>
      <c r="AA49" s="288">
        <f>SUM(AA45:AA45)</f>
        <v>0</v>
      </c>
      <c r="AB49" s="277" t="e">
        <f>+AA49/$C47</f>
        <v>#DIV/0!</v>
      </c>
      <c r="AC49" s="232"/>
      <c r="AD49" s="232"/>
      <c r="AE49" s="288">
        <f>SUM(AE45:AE45)</f>
        <v>0</v>
      </c>
      <c r="AF49" s="277" t="e">
        <f>+AE49/$C47</f>
        <v>#DIV/0!</v>
      </c>
      <c r="AG49" s="232"/>
      <c r="AH49" s="232"/>
      <c r="AI49" s="288">
        <f>SUM(AI45:AI45)</f>
        <v>0</v>
      </c>
      <c r="AJ49" s="277" t="e">
        <f>+AI49/$C47</f>
        <v>#DIV/0!</v>
      </c>
      <c r="AK49" s="232"/>
      <c r="AL49" s="232"/>
      <c r="AM49" s="288">
        <f>SUM(AM45:AM45)</f>
        <v>0</v>
      </c>
      <c r="AN49" s="277" t="e">
        <f>+AM49/$C47</f>
        <v>#DIV/0!</v>
      </c>
      <c r="AO49" s="232"/>
      <c r="AP49" s="232"/>
      <c r="AQ49" s="288">
        <f>SUM(AQ45:AQ45)</f>
        <v>0</v>
      </c>
      <c r="AR49" s="277" t="e">
        <f>+AQ49/$C47</f>
        <v>#DIV/0!</v>
      </c>
      <c r="AS49" s="232"/>
      <c r="AT49" s="289"/>
      <c r="AU49" s="125">
        <f>SUM(AU45:AU45)</f>
        <v>0</v>
      </c>
      <c r="AV49" s="123" t="e">
        <f>+AU49/$C47</f>
        <v>#DIV/0!</v>
      </c>
      <c r="AW49" s="117"/>
      <c r="AX49" s="124"/>
      <c r="AY49" s="122">
        <f>SUM(AY45:AY45)</f>
        <v>0</v>
      </c>
      <c r="AZ49" s="123" t="e">
        <f>+AY49/$C47</f>
        <v>#DIV/0!</v>
      </c>
      <c r="BA49" s="117"/>
      <c r="BB49" s="124"/>
      <c r="BC49" s="122">
        <f>SUM(BC45:BC45)</f>
        <v>0</v>
      </c>
      <c r="BD49" s="123" t="e">
        <f>+BC49/$C47</f>
        <v>#DIV/0!</v>
      </c>
      <c r="BE49" s="117"/>
      <c r="BF49" s="124"/>
      <c r="BG49" s="122">
        <f>SUM(BG45:BG45)</f>
        <v>0</v>
      </c>
      <c r="BH49" s="123" t="e">
        <f>+BG49/$C47</f>
        <v>#DIV/0!</v>
      </c>
      <c r="BI49" s="117"/>
      <c r="BJ49" s="124"/>
      <c r="BK49" s="122">
        <f>SUM(BK45:BK45)</f>
        <v>0</v>
      </c>
      <c r="BL49" s="123" t="e">
        <f>+BK49/$C47</f>
        <v>#DIV/0!</v>
      </c>
      <c r="BM49" s="117"/>
      <c r="BN49" s="124"/>
      <c r="BO49" s="122">
        <f>SUM(BO45:BO45)</f>
        <v>0</v>
      </c>
      <c r="BP49" s="123" t="e">
        <f>+BO49/$C47</f>
        <v>#DIV/0!</v>
      </c>
      <c r="BQ49" s="117"/>
      <c r="BR49" s="124"/>
      <c r="BT49" s="232"/>
      <c r="BU49" s="232"/>
    </row>
    <row r="50" spans="1:73" s="235" customFormat="1" ht="10.199999999999999" hidden="1" thickBot="1" x14ac:dyDescent="0.25">
      <c r="A50" s="262"/>
      <c r="B50" s="231" t="s">
        <v>389</v>
      </c>
      <c r="C50" s="240"/>
      <c r="D50" s="240"/>
      <c r="E50" s="240"/>
      <c r="F50" s="240"/>
      <c r="G50" s="286"/>
      <c r="H50" s="272"/>
      <c r="I50" s="275">
        <f>SUM(I45:I47)</f>
        <v>0</v>
      </c>
      <c r="J50" s="277" t="e">
        <f>+I50/$D47</f>
        <v>#DIV/0!</v>
      </c>
      <c r="K50" s="286"/>
      <c r="L50" s="232"/>
      <c r="M50" s="275">
        <f>SUM(M45:M45)</f>
        <v>0</v>
      </c>
      <c r="N50" s="277" t="e">
        <f>+M50/$D47</f>
        <v>#DIV/0!</v>
      </c>
      <c r="O50" s="286"/>
      <c r="P50" s="232"/>
      <c r="Q50" s="275">
        <f>SUM(Q45:Q47)</f>
        <v>0</v>
      </c>
      <c r="R50" s="277" t="e">
        <f>+Q50/$D47</f>
        <v>#DIV/0!</v>
      </c>
      <c r="S50" s="286"/>
      <c r="T50" s="232"/>
      <c r="U50" s="275">
        <f>SUM(U45:U47)</f>
        <v>0</v>
      </c>
      <c r="V50" s="277" t="e">
        <f>+U50/$D47</f>
        <v>#DIV/0!</v>
      </c>
      <c r="W50" s="286"/>
      <c r="X50" s="232"/>
      <c r="Y50" s="275">
        <f>SUM(Y45:Y47)</f>
        <v>0</v>
      </c>
      <c r="Z50" s="277" t="e">
        <f>+Y50/$D47</f>
        <v>#DIV/0!</v>
      </c>
      <c r="AA50" s="286"/>
      <c r="AB50" s="232"/>
      <c r="AC50" s="275">
        <f>SUM(AC45:AC47)</f>
        <v>0</v>
      </c>
      <c r="AD50" s="277" t="e">
        <f>+AC50/$D47</f>
        <v>#DIV/0!</v>
      </c>
      <c r="AE50" s="286"/>
      <c r="AF50" s="232"/>
      <c r="AG50" s="275">
        <f>SUM(AG45:AG47)</f>
        <v>0</v>
      </c>
      <c r="AH50" s="277" t="e">
        <f>+AG50/$D47</f>
        <v>#DIV/0!</v>
      </c>
      <c r="AI50" s="286"/>
      <c r="AJ50" s="232"/>
      <c r="AK50" s="275">
        <f>SUM(AK45:AK47)</f>
        <v>0</v>
      </c>
      <c r="AL50" s="277" t="e">
        <f>+AK50/$D47</f>
        <v>#DIV/0!</v>
      </c>
      <c r="AM50" s="286"/>
      <c r="AN50" s="232"/>
      <c r="AO50" s="275">
        <f>SUM(AO45:AO47)</f>
        <v>0</v>
      </c>
      <c r="AP50" s="277" t="e">
        <f>+AO50/$D47</f>
        <v>#DIV/0!</v>
      </c>
      <c r="AQ50" s="286"/>
      <c r="AR50" s="232"/>
      <c r="AS50" s="275">
        <f>SUM(AS45:AS47)</f>
        <v>0</v>
      </c>
      <c r="AT50" s="290" t="e">
        <f>+AS50/$D47</f>
        <v>#DIV/0!</v>
      </c>
      <c r="AU50" s="150"/>
      <c r="AV50" s="148"/>
      <c r="AW50" s="233">
        <f>SUM(AW45:AW47)</f>
        <v>0</v>
      </c>
      <c r="AX50" s="234" t="e">
        <f>+AW50/$D47</f>
        <v>#DIV/0!</v>
      </c>
      <c r="AY50" s="147"/>
      <c r="AZ50" s="148"/>
      <c r="BA50" s="233">
        <f>SUM(BA45:BA47)</f>
        <v>0</v>
      </c>
      <c r="BB50" s="234" t="e">
        <f>+BA50/$D47</f>
        <v>#DIV/0!</v>
      </c>
      <c r="BC50" s="147"/>
      <c r="BD50" s="148"/>
      <c r="BE50" s="233">
        <f>SUM(BE45:BE47)</f>
        <v>0</v>
      </c>
      <c r="BF50" s="234" t="e">
        <f>+BE50/$D47</f>
        <v>#DIV/0!</v>
      </c>
      <c r="BG50" s="147"/>
      <c r="BH50" s="148"/>
      <c r="BI50" s="233">
        <f>SUM(BI45:BI47)</f>
        <v>0</v>
      </c>
      <c r="BJ50" s="234" t="e">
        <f>+BI50/$D47</f>
        <v>#DIV/0!</v>
      </c>
      <c r="BK50" s="147"/>
      <c r="BL50" s="148"/>
      <c r="BM50" s="233">
        <f>SUM(BM45:BM47)</f>
        <v>0</v>
      </c>
      <c r="BN50" s="234" t="e">
        <f>+BM50/$D47</f>
        <v>#DIV/0!</v>
      </c>
      <c r="BO50" s="147"/>
      <c r="BP50" s="148"/>
      <c r="BQ50" s="233">
        <f>SUM(BQ45:BQ47)</f>
        <v>0</v>
      </c>
      <c r="BR50" s="234" t="e">
        <f>+BQ50/$D47</f>
        <v>#DIV/0!</v>
      </c>
      <c r="BT50" s="236"/>
      <c r="BU50" s="236"/>
    </row>
    <row r="51" spans="1:73" s="102" customFormat="1" ht="9.6" hidden="1" x14ac:dyDescent="0.2">
      <c r="A51" s="262"/>
      <c r="B51" s="231"/>
      <c r="C51" s="240"/>
      <c r="D51" s="240"/>
      <c r="E51" s="240"/>
      <c r="F51" s="240"/>
      <c r="G51" s="286"/>
      <c r="H51" s="272"/>
      <c r="I51" s="273"/>
      <c r="J51" s="274"/>
      <c r="K51" s="286"/>
      <c r="L51" s="232"/>
      <c r="M51" s="273"/>
      <c r="N51" s="274"/>
      <c r="O51" s="286"/>
      <c r="P51" s="232"/>
      <c r="Q51" s="273"/>
      <c r="R51" s="274"/>
      <c r="S51" s="286"/>
      <c r="T51" s="232"/>
      <c r="U51" s="273"/>
      <c r="V51" s="274"/>
      <c r="W51" s="286"/>
      <c r="X51" s="232"/>
      <c r="Y51" s="273"/>
      <c r="Z51" s="274"/>
      <c r="AA51" s="286"/>
      <c r="AB51" s="232"/>
      <c r="AC51" s="273"/>
      <c r="AD51" s="274"/>
      <c r="AE51" s="286"/>
      <c r="AF51" s="232"/>
      <c r="AG51" s="273"/>
      <c r="AH51" s="274"/>
      <c r="AI51" s="286"/>
      <c r="AJ51" s="232"/>
      <c r="AK51" s="273"/>
      <c r="AL51" s="274"/>
      <c r="AM51" s="286"/>
      <c r="AN51" s="232"/>
      <c r="AO51" s="273"/>
      <c r="AP51" s="274"/>
      <c r="AQ51" s="286"/>
      <c r="AR51" s="232"/>
      <c r="AS51" s="273"/>
      <c r="AT51" s="287"/>
      <c r="AU51" s="223"/>
      <c r="AV51" s="224"/>
      <c r="AW51" s="221"/>
      <c r="AX51" s="222"/>
      <c r="AY51" s="220"/>
      <c r="AZ51" s="224"/>
      <c r="BA51" s="221"/>
      <c r="BB51" s="222"/>
      <c r="BC51" s="220"/>
      <c r="BD51" s="224"/>
      <c r="BE51" s="221"/>
      <c r="BF51" s="222"/>
      <c r="BG51" s="220"/>
      <c r="BH51" s="224"/>
      <c r="BI51" s="221"/>
      <c r="BJ51" s="222"/>
      <c r="BK51" s="220"/>
      <c r="BL51" s="224"/>
      <c r="BM51" s="221"/>
      <c r="BN51" s="222"/>
      <c r="BO51" s="220"/>
      <c r="BP51" s="224"/>
      <c r="BQ51" s="221"/>
      <c r="BR51" s="222"/>
      <c r="BT51" s="36"/>
      <c r="BU51" s="36"/>
    </row>
    <row r="52" spans="1:73" s="102" customFormat="1" ht="9.6" hidden="1" x14ac:dyDescent="0.2">
      <c r="A52" s="262"/>
      <c r="B52" s="231" t="s">
        <v>576</v>
      </c>
      <c r="C52" s="254">
        <f>TRUNC(+C47+C47*'Orçamento Desonerado'!$F$717/100,2)</f>
        <v>0</v>
      </c>
      <c r="D52" s="240"/>
      <c r="E52" s="240"/>
      <c r="F52" s="240"/>
      <c r="G52" s="288">
        <f>TRUNC(+G49+G49*'Orçamento Desonerado'!$F$717/100,2)</f>
        <v>0</v>
      </c>
      <c r="H52" s="276"/>
      <c r="I52" s="232"/>
      <c r="J52" s="232"/>
      <c r="K52" s="288">
        <f>TRUNC(+K49+K49*'Orçamento Desonerado'!$F$717/100,2)</f>
        <v>0</v>
      </c>
      <c r="L52" s="276"/>
      <c r="M52" s="232"/>
      <c r="N52" s="232"/>
      <c r="O52" s="288">
        <f>TRUNC(+O49+O49*'Orçamento Desonerado'!$F$717/100,2)</f>
        <v>0</v>
      </c>
      <c r="P52" s="276"/>
      <c r="Q52" s="232"/>
      <c r="R52" s="232"/>
      <c r="S52" s="288">
        <f>TRUNC(+S49+S49*'Orçamento Desonerado'!$F$717/100,2)</f>
        <v>0</v>
      </c>
      <c r="T52" s="276"/>
      <c r="U52" s="232"/>
      <c r="V52" s="232"/>
      <c r="W52" s="288">
        <f>TRUNC(+W49+W49*'Orçamento Desonerado'!$F$717/100,2)</f>
        <v>0</v>
      </c>
      <c r="X52" s="276"/>
      <c r="Y52" s="232"/>
      <c r="Z52" s="232"/>
      <c r="AA52" s="288">
        <f>TRUNC(+AA49+AA49*'Orçamento Desonerado'!$F$717/100,2)</f>
        <v>0</v>
      </c>
      <c r="AB52" s="276"/>
      <c r="AC52" s="232"/>
      <c r="AD52" s="232"/>
      <c r="AE52" s="288">
        <f>TRUNC(+AE49+AE49*'Orçamento Desonerado'!$F$717/100,2)</f>
        <v>0</v>
      </c>
      <c r="AF52" s="276"/>
      <c r="AG52" s="232"/>
      <c r="AH52" s="232"/>
      <c r="AI52" s="288">
        <f>TRUNC(+AI49+AI49*'Orçamento Desonerado'!$F$717/100,2)</f>
        <v>0</v>
      </c>
      <c r="AJ52" s="276"/>
      <c r="AK52" s="232"/>
      <c r="AL52" s="232"/>
      <c r="AM52" s="288">
        <f>TRUNC(+AM49+AM49*'Orçamento Desonerado'!$F$717/100,2)</f>
        <v>0</v>
      </c>
      <c r="AN52" s="276"/>
      <c r="AO52" s="232"/>
      <c r="AP52" s="232"/>
      <c r="AQ52" s="288">
        <f>TRUNC(+AQ49+AQ49*'Orçamento Desonerado'!$F$717/100,2)</f>
        <v>0</v>
      </c>
      <c r="AR52" s="276"/>
      <c r="AS52" s="232"/>
      <c r="AT52" s="232"/>
      <c r="AU52" s="125">
        <v>0</v>
      </c>
      <c r="AV52" s="123"/>
      <c r="AW52" s="117"/>
      <c r="AX52" s="124"/>
      <c r="AY52" s="122">
        <v>0</v>
      </c>
      <c r="AZ52" s="123"/>
      <c r="BA52" s="117"/>
      <c r="BB52" s="124"/>
      <c r="BC52" s="122">
        <v>0</v>
      </c>
      <c r="BD52" s="123"/>
      <c r="BE52" s="117"/>
      <c r="BF52" s="124"/>
      <c r="BG52" s="122">
        <v>0</v>
      </c>
      <c r="BH52" s="123"/>
      <c r="BI52" s="117"/>
      <c r="BJ52" s="124"/>
      <c r="BK52" s="122">
        <v>0</v>
      </c>
      <c r="BL52" s="123"/>
      <c r="BM52" s="117"/>
      <c r="BN52" s="124"/>
      <c r="BO52" s="122">
        <v>0</v>
      </c>
      <c r="BP52" s="123"/>
      <c r="BQ52" s="117"/>
      <c r="BR52" s="124"/>
      <c r="BT52" s="36"/>
      <c r="BU52" s="36"/>
    </row>
    <row r="53" spans="1:73" s="102" customFormat="1" ht="9.6" hidden="1" x14ac:dyDescent="0.2">
      <c r="A53" s="262"/>
      <c r="B53" s="231" t="s">
        <v>577</v>
      </c>
      <c r="C53" s="240"/>
      <c r="D53" s="254">
        <f>TRUNC(+D47+D47*'Orçamento Desonerado'!$F$717/100,2)</f>
        <v>0</v>
      </c>
      <c r="E53" s="254">
        <f>SUM(C52,D53)</f>
        <v>0</v>
      </c>
      <c r="F53" s="240"/>
      <c r="G53" s="286"/>
      <c r="H53" s="272"/>
      <c r="I53" s="254">
        <f>TRUNC(+I50+I50*'Orçamento Desonerado'!$F$717/100,2)</f>
        <v>0</v>
      </c>
      <c r="J53" s="277"/>
      <c r="K53" s="286"/>
      <c r="L53" s="272"/>
      <c r="M53" s="254">
        <f>TRUNC(+M50+M50*'Orçamento Desonerado'!$F$717/100,2)</f>
        <v>0</v>
      </c>
      <c r="N53" s="277"/>
      <c r="O53" s="286"/>
      <c r="P53" s="272"/>
      <c r="Q53" s="254">
        <f>TRUNC(+Q50+Q50*'Orçamento Desonerado'!$F$717/100,2)</f>
        <v>0</v>
      </c>
      <c r="R53" s="277"/>
      <c r="S53" s="286"/>
      <c r="T53" s="272"/>
      <c r="U53" s="254">
        <f>TRUNC(+U50+U50*'Orçamento Desonerado'!$F$717/100,2)</f>
        <v>0</v>
      </c>
      <c r="V53" s="277"/>
      <c r="W53" s="286"/>
      <c r="X53" s="272"/>
      <c r="Y53" s="254">
        <f>TRUNC(+Y50+Y50*'Orçamento Desonerado'!$F$717/100,2)</f>
        <v>0</v>
      </c>
      <c r="Z53" s="277"/>
      <c r="AA53" s="286"/>
      <c r="AB53" s="272"/>
      <c r="AC53" s="254">
        <f>TRUNC(+AC50+AC50*'Orçamento Desonerado'!$F$717/100,2)</f>
        <v>0</v>
      </c>
      <c r="AD53" s="277"/>
      <c r="AE53" s="286"/>
      <c r="AF53" s="272"/>
      <c r="AG53" s="254">
        <f>TRUNC(+AG50+AG50*'Orçamento Desonerado'!$F$717/100,2)</f>
        <v>0</v>
      </c>
      <c r="AH53" s="277"/>
      <c r="AI53" s="286"/>
      <c r="AJ53" s="272"/>
      <c r="AK53" s="254">
        <f>TRUNC(+AK50+AK50*'Orçamento Desonerado'!$F$717/100,2)</f>
        <v>0</v>
      </c>
      <c r="AL53" s="277"/>
      <c r="AM53" s="286"/>
      <c r="AN53" s="272"/>
      <c r="AO53" s="254">
        <f>TRUNC(+AO50+AO50*'Orçamento Desonerado'!$F$717/100,2)</f>
        <v>0</v>
      </c>
      <c r="AP53" s="277"/>
      <c r="AQ53" s="286"/>
      <c r="AR53" s="272"/>
      <c r="AS53" s="254">
        <f>TRUNC(+AS50+AS50*'Orçamento Desonerado'!$F$717/100,2)</f>
        <v>0</v>
      </c>
      <c r="AT53" s="277"/>
      <c r="AU53" s="120"/>
      <c r="AV53" s="126"/>
      <c r="AW53" s="127">
        <v>0</v>
      </c>
      <c r="AX53" s="128"/>
      <c r="AY53" s="116"/>
      <c r="AZ53" s="126"/>
      <c r="BA53" s="127">
        <v>0</v>
      </c>
      <c r="BB53" s="128"/>
      <c r="BC53" s="116"/>
      <c r="BD53" s="126"/>
      <c r="BE53" s="127">
        <v>0</v>
      </c>
      <c r="BF53" s="128"/>
      <c r="BG53" s="116"/>
      <c r="BH53" s="126"/>
      <c r="BI53" s="127">
        <v>0</v>
      </c>
      <c r="BJ53" s="128"/>
      <c r="BK53" s="116"/>
      <c r="BL53" s="126"/>
      <c r="BM53" s="127">
        <v>0</v>
      </c>
      <c r="BN53" s="128"/>
      <c r="BO53" s="116"/>
      <c r="BP53" s="126"/>
      <c r="BQ53" s="127">
        <v>0</v>
      </c>
      <c r="BR53" s="128"/>
      <c r="BT53" s="36"/>
      <c r="BU53" s="36"/>
    </row>
    <row r="54" spans="1:73" s="102" customFormat="1" ht="10.199999999999999" hidden="1" thickBot="1" x14ac:dyDescent="0.25">
      <c r="A54" s="263"/>
      <c r="B54" s="264"/>
      <c r="C54" s="245"/>
      <c r="D54" s="245"/>
      <c r="E54" s="245"/>
      <c r="F54" s="245"/>
      <c r="G54" s="291"/>
      <c r="H54" s="292"/>
      <c r="I54" s="293"/>
      <c r="J54" s="296"/>
      <c r="K54" s="291"/>
      <c r="L54" s="236"/>
      <c r="M54" s="293"/>
      <c r="N54" s="296"/>
      <c r="O54" s="291"/>
      <c r="P54" s="236"/>
      <c r="Q54" s="293"/>
      <c r="R54" s="296"/>
      <c r="S54" s="291"/>
      <c r="T54" s="236"/>
      <c r="U54" s="293"/>
      <c r="V54" s="296"/>
      <c r="W54" s="291"/>
      <c r="X54" s="236"/>
      <c r="Y54" s="293"/>
      <c r="Z54" s="296"/>
      <c r="AA54" s="291"/>
      <c r="AB54" s="236"/>
      <c r="AC54" s="293"/>
      <c r="AD54" s="296"/>
      <c r="AE54" s="291"/>
      <c r="AF54" s="236"/>
      <c r="AG54" s="293"/>
      <c r="AH54" s="296"/>
      <c r="AI54" s="291"/>
      <c r="AJ54" s="236"/>
      <c r="AK54" s="293"/>
      <c r="AL54" s="296"/>
      <c r="AM54" s="291"/>
      <c r="AN54" s="236"/>
      <c r="AO54" s="293"/>
      <c r="AP54" s="296"/>
      <c r="AQ54" s="291"/>
      <c r="AR54" s="236"/>
      <c r="AS54" s="293"/>
      <c r="AT54" s="294"/>
      <c r="AU54" s="138"/>
      <c r="AV54" s="135"/>
      <c r="AW54" s="136"/>
      <c r="AX54" s="137"/>
      <c r="AY54" s="134"/>
      <c r="AZ54" s="135"/>
      <c r="BA54" s="136"/>
      <c r="BB54" s="137"/>
      <c r="BC54" s="134"/>
      <c r="BD54" s="135"/>
      <c r="BE54" s="136"/>
      <c r="BF54" s="137"/>
      <c r="BG54" s="134"/>
      <c r="BH54" s="135"/>
      <c r="BI54" s="136"/>
      <c r="BJ54" s="137"/>
      <c r="BK54" s="134"/>
      <c r="BL54" s="135"/>
      <c r="BM54" s="136"/>
      <c r="BN54" s="137"/>
      <c r="BO54" s="134"/>
      <c r="BP54" s="135"/>
      <c r="BQ54" s="136"/>
      <c r="BR54" s="137"/>
      <c r="BT54" s="36"/>
      <c r="BU54" s="36"/>
    </row>
    <row r="55" spans="1:73" s="102" customFormat="1" ht="9.6" x14ac:dyDescent="0.2">
      <c r="A55" s="237"/>
      <c r="B55" s="238"/>
      <c r="C55" s="239"/>
      <c r="D55" s="240"/>
      <c r="E55" s="240"/>
      <c r="F55" s="240"/>
      <c r="G55" s="241"/>
      <c r="H55" s="242"/>
      <c r="I55" s="320"/>
      <c r="J55" s="321"/>
      <c r="K55" s="243"/>
      <c r="L55" s="244"/>
      <c r="M55" s="320"/>
      <c r="N55" s="323"/>
      <c r="O55" s="241"/>
      <c r="P55" s="244"/>
      <c r="Q55" s="320"/>
      <c r="R55" s="321"/>
      <c r="S55" s="243"/>
      <c r="T55" s="244"/>
      <c r="U55" s="320"/>
      <c r="V55" s="323"/>
      <c r="W55" s="241"/>
      <c r="X55" s="244"/>
      <c r="Y55" s="320"/>
      <c r="Z55" s="321"/>
      <c r="AA55" s="243"/>
      <c r="AB55" s="244"/>
      <c r="AC55" s="320"/>
      <c r="AD55" s="321"/>
      <c r="AE55" s="241"/>
      <c r="AF55" s="244"/>
      <c r="AG55" s="320"/>
      <c r="AH55" s="321"/>
      <c r="AI55" s="241"/>
      <c r="AJ55" s="244"/>
      <c r="AK55" s="320"/>
      <c r="AL55" s="321"/>
      <c r="AM55" s="241"/>
      <c r="AN55" s="244"/>
      <c r="AO55" s="320"/>
      <c r="AP55" s="321"/>
      <c r="AQ55" s="241"/>
      <c r="AR55" s="244"/>
      <c r="AS55" s="320"/>
      <c r="AT55" s="321"/>
      <c r="AU55" s="134"/>
      <c r="AV55" s="135"/>
      <c r="AW55" s="136"/>
      <c r="AX55" s="137"/>
      <c r="AY55" s="134"/>
      <c r="AZ55" s="135"/>
      <c r="BA55" s="136"/>
      <c r="BB55" s="137"/>
      <c r="BC55" s="134"/>
      <c r="BD55" s="135"/>
      <c r="BE55" s="136"/>
      <c r="BF55" s="137"/>
      <c r="BG55" s="134"/>
      <c r="BH55" s="135"/>
      <c r="BI55" s="136"/>
      <c r="BJ55" s="137"/>
      <c r="BK55" s="134"/>
      <c r="BL55" s="135"/>
      <c r="BM55" s="136"/>
      <c r="BN55" s="137"/>
      <c r="BO55" s="134"/>
      <c r="BP55" s="135"/>
      <c r="BQ55" s="136"/>
      <c r="BR55" s="137"/>
      <c r="BT55" s="36"/>
      <c r="BU55" s="36"/>
    </row>
    <row r="56" spans="1:73" s="102" customFormat="1" ht="10.95" customHeight="1" x14ac:dyDescent="0.2">
      <c r="A56" s="130"/>
      <c r="B56" s="131" t="s">
        <v>395</v>
      </c>
      <c r="C56" s="132"/>
      <c r="D56" s="133"/>
      <c r="E56" s="133"/>
      <c r="F56" s="133"/>
      <c r="G56" s="141"/>
      <c r="H56" s="188"/>
      <c r="I56" s="136">
        <f>G30+I31+G52+I53+G41+I42</f>
        <v>0</v>
      </c>
      <c r="J56" s="137" t="e">
        <f>TRUNC((+I56/$E$57),6)</f>
        <v>#DIV/0!</v>
      </c>
      <c r="K56" s="142"/>
      <c r="L56" s="135"/>
      <c r="M56" s="136">
        <f>K30+M31+K52+M53+K41+M42</f>
        <v>0</v>
      </c>
      <c r="N56" s="139" t="e">
        <f>TRUNC((+M56/$E$57),6)</f>
        <v>#DIV/0!</v>
      </c>
      <c r="O56" s="141"/>
      <c r="P56" s="135"/>
      <c r="Q56" s="136">
        <f>O30+Q31+O52+Q53+O41+Q42</f>
        <v>0</v>
      </c>
      <c r="R56" s="137" t="e">
        <f>TRUNC((+Q56/$E$57),6)</f>
        <v>#DIV/0!</v>
      </c>
      <c r="S56" s="142"/>
      <c r="T56" s="135"/>
      <c r="U56" s="136">
        <f>S30+U31+S52+U53+S41+U42</f>
        <v>0</v>
      </c>
      <c r="V56" s="139" t="e">
        <f>TRUNC((+U56/$E$57),6)</f>
        <v>#DIV/0!</v>
      </c>
      <c r="W56" s="141"/>
      <c r="X56" s="135"/>
      <c r="Y56" s="136">
        <f>W30+Y31+W52+Y53+W41+Y42</f>
        <v>0</v>
      </c>
      <c r="Z56" s="137" t="e">
        <f>TRUNC((+Y56/$E$57),6)</f>
        <v>#DIV/0!</v>
      </c>
      <c r="AA56" s="142"/>
      <c r="AB56" s="135"/>
      <c r="AC56" s="136">
        <f>AA30+AC31+AA52+AC53+AA41+AC42</f>
        <v>0</v>
      </c>
      <c r="AD56" s="137" t="e">
        <f>TRUNC((+AC56/$E$57),6)</f>
        <v>#DIV/0!</v>
      </c>
      <c r="AE56" s="141"/>
      <c r="AF56" s="135"/>
      <c r="AG56" s="136">
        <f>AE30+AG31+AE52+AG53+AE41+AG42</f>
        <v>0</v>
      </c>
      <c r="AH56" s="137" t="e">
        <f>TRUNC((+AG56/$E$57),6)</f>
        <v>#DIV/0!</v>
      </c>
      <c r="AI56" s="141"/>
      <c r="AJ56" s="135"/>
      <c r="AK56" s="136">
        <f>AI30+AK31+AI52+AK53+AI41+AK42</f>
        <v>0</v>
      </c>
      <c r="AL56" s="137" t="e">
        <f>TRUNC((+AK56/$E$57),6)</f>
        <v>#DIV/0!</v>
      </c>
      <c r="AM56" s="141"/>
      <c r="AN56" s="135"/>
      <c r="AO56" s="136">
        <f>AM30+AO31+AM52+AO53+AM41+AO42</f>
        <v>0</v>
      </c>
      <c r="AP56" s="137" t="e">
        <f>TRUNC((+AO56/$E$57),6)</f>
        <v>#DIV/0!</v>
      </c>
      <c r="AQ56" s="141"/>
      <c r="AR56" s="135"/>
      <c r="AS56" s="136">
        <f>AQ30+AS31+AQ52+AS53+AQ41+AS42</f>
        <v>0</v>
      </c>
      <c r="AT56" s="137" t="e">
        <f>TRUNC((+AS56/$E$57),6)</f>
        <v>#DIV/0!</v>
      </c>
      <c r="AU56" s="141"/>
      <c r="AV56" s="135"/>
      <c r="AW56" s="136">
        <f>AU30+AW31+AU52+AW53</f>
        <v>0</v>
      </c>
      <c r="AX56" s="137" t="e">
        <f>TRUNC((+AW56/$E$57),6)</f>
        <v>#DIV/0!</v>
      </c>
      <c r="AY56" s="141"/>
      <c r="AZ56" s="135"/>
      <c r="BA56" s="136">
        <f>AY30+BA31+AY52+BA53</f>
        <v>0</v>
      </c>
      <c r="BB56" s="137" t="e">
        <f>TRUNC((+BA56/$E$57),6)</f>
        <v>#DIV/0!</v>
      </c>
      <c r="BC56" s="141"/>
      <c r="BD56" s="135"/>
      <c r="BE56" s="136">
        <f>BC30+BE31+BC52+BE53</f>
        <v>0</v>
      </c>
      <c r="BF56" s="137" t="e">
        <f>TRUNC((+BE56/$E$57),6)</f>
        <v>#DIV/0!</v>
      </c>
      <c r="BG56" s="141"/>
      <c r="BH56" s="135"/>
      <c r="BI56" s="136">
        <f>BG30+BI31+BG52+BI53</f>
        <v>0</v>
      </c>
      <c r="BJ56" s="137" t="e">
        <f>TRUNC((+BI56/$E$57),6)</f>
        <v>#DIV/0!</v>
      </c>
      <c r="BK56" s="141"/>
      <c r="BL56" s="135"/>
      <c r="BM56" s="136">
        <f>BK30+BM31+BK52+BM53</f>
        <v>0</v>
      </c>
      <c r="BN56" s="137" t="e">
        <f>TRUNC((+BM56/$E$57),6)</f>
        <v>#DIV/0!</v>
      </c>
      <c r="BO56" s="141"/>
      <c r="BP56" s="135"/>
      <c r="BQ56" s="136">
        <f>BO30+BQ31+BO52+BQ53</f>
        <v>0</v>
      </c>
      <c r="BR56" s="137" t="e">
        <f>TRUNC((+BQ56/$E$57),6)</f>
        <v>#DIV/0!</v>
      </c>
      <c r="BT56" s="36"/>
      <c r="BU56" s="94"/>
    </row>
    <row r="57" spans="1:73" s="102" customFormat="1" ht="10.95" customHeight="1" x14ac:dyDescent="0.2">
      <c r="A57" s="130"/>
      <c r="B57" s="131" t="s">
        <v>396</v>
      </c>
      <c r="C57" s="132"/>
      <c r="D57" s="133"/>
      <c r="E57" s="108">
        <f>SUM(E31+E53+E42)</f>
        <v>0</v>
      </c>
      <c r="F57" s="133"/>
      <c r="G57" s="141"/>
      <c r="H57" s="188"/>
      <c r="I57" s="136">
        <f>+I56</f>
        <v>0</v>
      </c>
      <c r="J57" s="137" t="e">
        <f>+J56</f>
        <v>#DIV/0!</v>
      </c>
      <c r="K57" s="142"/>
      <c r="L57" s="135"/>
      <c r="M57" s="136">
        <f>TRUNC(+M56+I57,3)</f>
        <v>0</v>
      </c>
      <c r="N57" s="139" t="e">
        <f>+N56+J57</f>
        <v>#DIV/0!</v>
      </c>
      <c r="O57" s="141"/>
      <c r="P57" s="135"/>
      <c r="Q57" s="136">
        <f>TRUNC(+Q56+M57,3)+0.01</f>
        <v>0.01</v>
      </c>
      <c r="R57" s="137" t="e">
        <f>+R56+N57</f>
        <v>#DIV/0!</v>
      </c>
      <c r="S57" s="142"/>
      <c r="T57" s="135"/>
      <c r="U57" s="136">
        <f>TRUNC(+U56+Q57,3)</f>
        <v>0.01</v>
      </c>
      <c r="V57" s="139" t="e">
        <f>+V56+R57</f>
        <v>#DIV/0!</v>
      </c>
      <c r="W57" s="141"/>
      <c r="X57" s="135"/>
      <c r="Y57" s="136">
        <f>+Y56+U57+0.04</f>
        <v>0.05</v>
      </c>
      <c r="Z57" s="137" t="e">
        <f>+Z56+V57</f>
        <v>#DIV/0!</v>
      </c>
      <c r="AA57" s="142"/>
      <c r="AB57" s="135"/>
      <c r="AC57" s="136">
        <f>+AC56+Y57</f>
        <v>0.05</v>
      </c>
      <c r="AD57" s="137" t="e">
        <f>+AD56+Z57</f>
        <v>#DIV/0!</v>
      </c>
      <c r="AE57" s="141"/>
      <c r="AF57" s="135"/>
      <c r="AG57" s="136">
        <f>+AG56+AC57</f>
        <v>0.05</v>
      </c>
      <c r="AH57" s="137" t="e">
        <f>+AH56+AD57</f>
        <v>#DIV/0!</v>
      </c>
      <c r="AI57" s="141"/>
      <c r="AJ57" s="135"/>
      <c r="AK57" s="136">
        <f>+AK56+AG57</f>
        <v>0.05</v>
      </c>
      <c r="AL57" s="137" t="e">
        <f>+AL56+AH57</f>
        <v>#DIV/0!</v>
      </c>
      <c r="AM57" s="141"/>
      <c r="AN57" s="135"/>
      <c r="AO57" s="136">
        <f>+AO56+AK57</f>
        <v>0.05</v>
      </c>
      <c r="AP57" s="137" t="e">
        <f>+AP56+AL57</f>
        <v>#DIV/0!</v>
      </c>
      <c r="AQ57" s="141"/>
      <c r="AR57" s="135"/>
      <c r="AS57" s="136">
        <f>+AS56+AO57</f>
        <v>0.05</v>
      </c>
      <c r="AT57" s="137" t="e">
        <f>+AT56+AP57</f>
        <v>#DIV/0!</v>
      </c>
      <c r="AU57" s="141"/>
      <c r="AV57" s="135"/>
      <c r="AW57" s="136" t="e">
        <f>+AW56+#REF!</f>
        <v>#REF!</v>
      </c>
      <c r="AX57" s="137" t="e">
        <f>+AX56+#REF!</f>
        <v>#DIV/0!</v>
      </c>
      <c r="AY57" s="141"/>
      <c r="AZ57" s="135"/>
      <c r="BA57" s="136" t="e">
        <f>+BA56+AW57</f>
        <v>#REF!</v>
      </c>
      <c r="BB57" s="137" t="e">
        <f>+BB56+AX57</f>
        <v>#DIV/0!</v>
      </c>
      <c r="BC57" s="141"/>
      <c r="BD57" s="135"/>
      <c r="BE57" s="136" t="e">
        <f>+BE56+BA57</f>
        <v>#REF!</v>
      </c>
      <c r="BF57" s="137" t="e">
        <f>+BF56+BB57</f>
        <v>#DIV/0!</v>
      </c>
      <c r="BG57" s="141"/>
      <c r="BH57" s="135"/>
      <c r="BI57" s="136" t="e">
        <f>+BI56+BE57</f>
        <v>#REF!</v>
      </c>
      <c r="BJ57" s="137" t="e">
        <f>+BJ56+BF57</f>
        <v>#DIV/0!</v>
      </c>
      <c r="BK57" s="141"/>
      <c r="BL57" s="135"/>
      <c r="BM57" s="136" t="e">
        <f>+BM56+BI57</f>
        <v>#REF!</v>
      </c>
      <c r="BN57" s="137" t="e">
        <f>+BN56+BJ57</f>
        <v>#DIV/0!</v>
      </c>
      <c r="BO57" s="141"/>
      <c r="BP57" s="135"/>
      <c r="BQ57" s="136" t="e">
        <f>+BQ56+BM57</f>
        <v>#REF!</v>
      </c>
      <c r="BR57" s="137" t="e">
        <f>+BR56+BN57</f>
        <v>#DIV/0!</v>
      </c>
      <c r="BT57" s="36"/>
      <c r="BU57" s="36"/>
    </row>
    <row r="58" spans="1:73" s="102" customFormat="1" ht="10.95" customHeight="1" thickBot="1" x14ac:dyDescent="0.25">
      <c r="A58" s="143"/>
      <c r="B58" s="144"/>
      <c r="C58" s="145"/>
      <c r="D58" s="146"/>
      <c r="E58" s="146"/>
      <c r="F58" s="146"/>
      <c r="G58" s="147"/>
      <c r="H58" s="189"/>
      <c r="I58" s="148"/>
      <c r="J58" s="149"/>
      <c r="K58" s="150"/>
      <c r="L58" s="148"/>
      <c r="M58" s="148"/>
      <c r="N58" s="151"/>
      <c r="O58" s="147"/>
      <c r="P58" s="148"/>
      <c r="Q58" s="148"/>
      <c r="R58" s="149"/>
      <c r="S58" s="150"/>
      <c r="T58" s="148"/>
      <c r="U58" s="148"/>
      <c r="V58" s="151"/>
      <c r="W58" s="147"/>
      <c r="X58" s="148"/>
      <c r="Y58" s="148"/>
      <c r="Z58" s="149"/>
      <c r="AA58" s="150"/>
      <c r="AB58" s="148"/>
      <c r="AC58" s="148"/>
      <c r="AD58" s="149"/>
      <c r="AE58" s="147"/>
      <c r="AF58" s="148"/>
      <c r="AG58" s="148"/>
      <c r="AH58" s="149"/>
      <c r="AI58" s="147"/>
      <c r="AJ58" s="148"/>
      <c r="AK58" s="148"/>
      <c r="AL58" s="149"/>
      <c r="AM58" s="147"/>
      <c r="AN58" s="148"/>
      <c r="AO58" s="148"/>
      <c r="AP58" s="149"/>
      <c r="AQ58" s="147"/>
      <c r="AR58" s="148"/>
      <c r="AS58" s="148"/>
      <c r="AT58" s="149"/>
      <c r="AU58" s="147"/>
      <c r="AV58" s="148"/>
      <c r="AW58" s="148"/>
      <c r="AX58" s="149"/>
      <c r="AY58" s="147"/>
      <c r="AZ58" s="148"/>
      <c r="BA58" s="148"/>
      <c r="BB58" s="149"/>
      <c r="BC58" s="147"/>
      <c r="BD58" s="148"/>
      <c r="BE58" s="148"/>
      <c r="BF58" s="149"/>
      <c r="BG58" s="147"/>
      <c r="BH58" s="148"/>
      <c r="BI58" s="148"/>
      <c r="BJ58" s="149"/>
      <c r="BK58" s="147"/>
      <c r="BL58" s="148"/>
      <c r="BM58" s="148"/>
      <c r="BN58" s="149"/>
      <c r="BO58" s="147"/>
      <c r="BP58" s="148"/>
      <c r="BQ58" s="148"/>
      <c r="BR58" s="149"/>
      <c r="BT58" s="36"/>
      <c r="BU58" s="36"/>
    </row>
    <row r="59" spans="1:73" ht="10.95" customHeight="1" x14ac:dyDescent="0.25"/>
    <row r="60" spans="1:73" x14ac:dyDescent="0.25">
      <c r="B60" s="152" t="s">
        <v>397</v>
      </c>
      <c r="C60" s="153" t="s">
        <v>358</v>
      </c>
      <c r="D60" s="154"/>
      <c r="E60" s="155"/>
      <c r="F60" s="156"/>
      <c r="J60" s="157"/>
    </row>
    <row r="61" spans="1:73" s="158" customFormat="1" ht="10.199999999999999" x14ac:dyDescent="0.2">
      <c r="B61" s="159" t="s">
        <v>398</v>
      </c>
      <c r="C61" s="160" t="s">
        <v>355</v>
      </c>
      <c r="D61" s="161"/>
      <c r="E61" s="162"/>
      <c r="F61" s="163"/>
      <c r="H61" s="190"/>
      <c r="J61" s="157"/>
      <c r="K61" s="157"/>
      <c r="L61" s="157"/>
      <c r="Y61" s="157"/>
    </row>
    <row r="62" spans="1:73" s="158" customFormat="1" ht="10.199999999999999" x14ac:dyDescent="0.2">
      <c r="B62" s="159" t="s">
        <v>399</v>
      </c>
      <c r="C62" s="164"/>
      <c r="D62" s="161"/>
      <c r="E62" s="162"/>
      <c r="F62" s="163"/>
      <c r="H62" s="190"/>
      <c r="J62" s="157"/>
      <c r="L62" s="157"/>
    </row>
    <row r="63" spans="1:73" s="158" customFormat="1" ht="10.199999999999999" x14ac:dyDescent="0.2">
      <c r="H63" s="190"/>
      <c r="L63" s="157"/>
    </row>
    <row r="64" spans="1:73" s="158" customFormat="1" ht="10.199999999999999" x14ac:dyDescent="0.2">
      <c r="H64" s="190"/>
      <c r="L64" s="157"/>
    </row>
    <row r="65" spans="1:73" s="158" customFormat="1" ht="10.199999999999999" x14ac:dyDescent="0.2">
      <c r="D65" s="165"/>
      <c r="E65" s="166" t="s">
        <v>356</v>
      </c>
      <c r="F65" s="165"/>
      <c r="H65" s="190"/>
      <c r="L65" s="157"/>
    </row>
    <row r="67" spans="1:73" ht="15.6" x14ac:dyDescent="0.25">
      <c r="B67" s="32"/>
      <c r="C67" s="167"/>
      <c r="D67" s="167"/>
      <c r="E67" s="167"/>
      <c r="F67" s="167"/>
      <c r="G67" s="167"/>
      <c r="H67" s="191"/>
      <c r="I67" s="167"/>
      <c r="J67" s="167"/>
    </row>
    <row r="68" spans="1:73" x14ac:dyDescent="0.25">
      <c r="B68" s="32"/>
      <c r="C68" s="33"/>
    </row>
    <row r="69" spans="1:73" s="169" customFormat="1" ht="12" x14ac:dyDescent="0.2">
      <c r="A69" s="168"/>
      <c r="D69" s="170"/>
      <c r="E69" s="170"/>
      <c r="F69" s="170"/>
      <c r="G69" s="171"/>
      <c r="H69" s="192" t="s">
        <v>400</v>
      </c>
      <c r="I69" s="173"/>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T69" s="174"/>
      <c r="BU69" s="174"/>
    </row>
    <row r="70" spans="1:73" s="169" customFormat="1" ht="12" x14ac:dyDescent="0.2">
      <c r="A70" s="168"/>
      <c r="B70" s="172"/>
      <c r="D70" s="170"/>
      <c r="E70" s="170"/>
      <c r="F70" s="170"/>
      <c r="G70" s="171"/>
      <c r="H70" s="193" t="s">
        <v>401</v>
      </c>
      <c r="I70" s="173"/>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4"/>
      <c r="BR70" s="174"/>
      <c r="BT70" s="174"/>
      <c r="BU70" s="174"/>
    </row>
    <row r="71" spans="1:73" s="169" customFormat="1" ht="12" x14ac:dyDescent="0.2">
      <c r="A71" s="168"/>
      <c r="B71" s="172"/>
      <c r="D71" s="170"/>
      <c r="E71" s="170"/>
      <c r="F71" s="170"/>
      <c r="G71" s="171"/>
      <c r="H71" s="193" t="s">
        <v>402</v>
      </c>
      <c r="I71" s="173"/>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c r="BT71" s="174"/>
      <c r="BU71" s="174"/>
    </row>
    <row r="72" spans="1:73" s="169" customFormat="1" ht="12" x14ac:dyDescent="0.2">
      <c r="A72" s="168"/>
      <c r="B72" s="172"/>
      <c r="D72" s="170"/>
      <c r="E72" s="170"/>
      <c r="F72" s="170"/>
      <c r="G72" s="171"/>
      <c r="H72" s="193" t="s">
        <v>403</v>
      </c>
      <c r="I72" s="173"/>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T72" s="174"/>
      <c r="BU72" s="174"/>
    </row>
    <row r="73" spans="1:73" s="169" customFormat="1" ht="12" x14ac:dyDescent="0.2">
      <c r="A73" s="168"/>
      <c r="B73" s="172"/>
      <c r="D73" s="170"/>
      <c r="E73" s="170"/>
      <c r="F73" s="170"/>
      <c r="G73" s="171"/>
      <c r="H73" s="193" t="s">
        <v>404</v>
      </c>
      <c r="I73" s="173"/>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T73" s="174"/>
      <c r="BU73" s="174"/>
    </row>
    <row r="74" spans="1:73" s="169" customFormat="1" ht="12" x14ac:dyDescent="0.2">
      <c r="A74" s="168"/>
      <c r="B74" s="172"/>
      <c r="D74" s="170"/>
      <c r="E74" s="170"/>
      <c r="F74" s="170"/>
      <c r="G74" s="171"/>
      <c r="H74" s="193" t="s">
        <v>405</v>
      </c>
      <c r="I74" s="173"/>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T74" s="174"/>
      <c r="BU74" s="174"/>
    </row>
    <row r="75" spans="1:73" s="169" customFormat="1" ht="11.4" x14ac:dyDescent="0.2">
      <c r="A75" s="168"/>
      <c r="B75" s="168"/>
      <c r="D75" s="170"/>
      <c r="E75" s="170"/>
      <c r="F75" s="170"/>
      <c r="G75" s="171"/>
      <c r="H75" s="194"/>
      <c r="I75" s="173"/>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c r="BT75" s="174"/>
      <c r="BU75" s="174"/>
    </row>
    <row r="76" spans="1:73" s="169" customFormat="1" ht="11.4" x14ac:dyDescent="0.2">
      <c r="A76" s="168"/>
      <c r="B76" s="168"/>
      <c r="C76" s="175"/>
      <c r="D76" s="170"/>
      <c r="E76" s="170"/>
      <c r="F76" s="170"/>
      <c r="G76" s="171"/>
      <c r="H76" s="194"/>
      <c r="I76" s="173"/>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T76" s="174"/>
      <c r="BU76" s="174"/>
    </row>
  </sheetData>
  <pageMargins left="0.59055118110236227" right="0.59055118110236227" top="0.78740157480314965" bottom="0.59055118110236227" header="0.31496062992125984" footer="0.31496062992125984"/>
  <pageSetup paperSize="8" orientation="landscape" r:id="rId1"/>
  <colBreaks count="1" manualBreakCount="1">
    <brk id="34" max="53"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6B6ED4538E194BAF78F13EB96F2F86" ma:contentTypeVersion="22" ma:contentTypeDescription="Crie um novo documento." ma:contentTypeScope="" ma:versionID="a771a5d08c86dfcba71208dfc71d097c">
  <xsd:schema xmlns:xsd="http://www.w3.org/2001/XMLSchema" xmlns:xs="http://www.w3.org/2001/XMLSchema" xmlns:p="http://schemas.microsoft.com/office/2006/metadata/properties" xmlns:ns1="http://schemas.microsoft.com/sharepoint/v3" xmlns:ns2="f05a4387-5b93-4166-bc98-7f5883bbf940" xmlns:ns3="87847bdd-0d1e-4443-ba0f-c590836cc127" targetNamespace="http://schemas.microsoft.com/office/2006/metadata/properties" ma:root="true" ma:fieldsID="d7ec666d5ec58033a455fa5249d76e44" ns1:_="" ns2:_="" ns3:_="">
    <xsd:import namespace="http://schemas.microsoft.com/sharepoint/v3"/>
    <xsd:import namespace="f05a4387-5b93-4166-bc98-7f5883bbf940"/>
    <xsd:import namespace="87847bdd-0d1e-4443-ba0f-c590836cc127"/>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riedades da Política de Conformidade Unificada" ma:hidden="true" ma:internalName="_ip_UnifiedCompliancePolicyProperties">
      <xsd:simpleType>
        <xsd:restriction base="dms:Note"/>
      </xsd:simpleType>
    </xsd:element>
    <xsd:element name="_ip_UnifiedCompliancePolicyUIAction" ma:index="19"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5a4387-5b93-4166-bc98-7f5883bbf9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tatus de liberação" ma:internalName="Status_x0020_de_x0020_libera_x00e7__x00e3_o">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Marcações de imagem" ma:readOnly="false" ma:fieldId="{5cf76f15-5ced-4ddc-b409-7134ff3c332f}" ma:taxonomyMulti="true" ma:sspId="c79109d5-e067-4a55-9611-ccbaa98b80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847bdd-0d1e-4443-ba0f-c590836cc127"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TaxCatchAll" ma:index="26" nillable="true" ma:displayName="Taxonomy Catch All Column" ma:hidden="true" ma:list="{c6dbf7a9-4a9d-45a6-9858-3a2d5251772f}" ma:internalName="TaxCatchAll" ma:showField="CatchAllData" ma:web="87847bdd-0d1e-4443-ba0f-c590836cc1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05a4387-5b93-4166-bc98-7f5883bbf940">
      <Terms xmlns="http://schemas.microsoft.com/office/infopath/2007/PartnerControls"/>
    </lcf76f155ced4ddcb4097134ff3c332f>
    <_Flow_SignoffStatus xmlns="f05a4387-5b93-4166-bc98-7f5883bbf940" xsi:nil="true"/>
    <_ip_UnifiedCompliancePolicyProperties xmlns="http://schemas.microsoft.com/sharepoint/v3" xsi:nil="true"/>
    <TaxCatchAll xmlns="87847bdd-0d1e-4443-ba0f-c590836cc127" xsi:nil="true"/>
  </documentManagement>
</p:properties>
</file>

<file path=customXml/itemProps1.xml><?xml version="1.0" encoding="utf-8"?>
<ds:datastoreItem xmlns:ds="http://schemas.openxmlformats.org/officeDocument/2006/customXml" ds:itemID="{37BB9CBB-4EDA-447D-8056-26F32E1AD36B}"/>
</file>

<file path=customXml/itemProps2.xml><?xml version="1.0" encoding="utf-8"?>
<ds:datastoreItem xmlns:ds="http://schemas.openxmlformats.org/officeDocument/2006/customXml" ds:itemID="{2A6539DD-EB35-4E7C-A673-EAADCDCE7EDA}"/>
</file>

<file path=customXml/itemProps3.xml><?xml version="1.0" encoding="utf-8"?>
<ds:datastoreItem xmlns:ds="http://schemas.openxmlformats.org/officeDocument/2006/customXml" ds:itemID="{CD710376-E36B-4EBF-8ED4-EC7FFD6297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Orçamento Desonerado</vt:lpstr>
      <vt:lpstr>Cronograma Desonerado</vt:lpstr>
      <vt:lpstr>'Cronograma Desonerado'!Area_de_impressao</vt:lpstr>
      <vt:lpstr>'Orçamento Desonerado'!Area_de_impressao</vt:lpstr>
      <vt:lpstr>'Cronograma Desonerado'!Titulos_de_impressao</vt:lpstr>
      <vt:lpstr>'Orçamento Desonerado'!Titulos_de_impressao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MARIHA CRISTINE BATISTA</cp:lastModifiedBy>
  <cp:revision>0</cp:revision>
  <cp:lastPrinted>2024-12-27T18:19:08Z</cp:lastPrinted>
  <dcterms:created xsi:type="dcterms:W3CDTF">2024-12-18T20:51:13Z</dcterms:created>
  <dcterms:modified xsi:type="dcterms:W3CDTF">2025-06-24T18:12:42Z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0x0101008A6B6ED4538E194BAF78F13EB96F2F86</vt:lpwstr>
  </property>
</Properties>
</file>